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10140" yWindow="0" windowWidth="10455" windowHeight="10905" tabRatio="639" activeTab="6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3" sheetId="71" r:id="rId16"/>
    <sheet name="F15" sheetId="91" r:id="rId17"/>
  </sheets>
  <externalReferences>
    <externalReference r:id="rId18"/>
    <externalReference r:id="rId19"/>
    <externalReference r:id="rId20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ASTNPLF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BSTNPLF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CSTNPLF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_123Graph_XSTNPLF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new" hidden="1">[2]CE!#REF!</definedName>
    <definedName name="_xlnm.Print_Area" localSheetId="0">Checklist!$A$1:$E$26</definedName>
    <definedName name="_xlnm.Print_Area" localSheetId="12">'F7'!$B$2:$J$23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  <definedName name="xxxx" hidden="1">[3]CE!#REF!</definedName>
  </definedNames>
  <calcPr calcId="144525" iterate="1" iterateCount="10000" iterateDelta="1.0000000000000001E-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01" l="1"/>
  <c r="H8" i="101"/>
  <c r="H10" i="101" s="1"/>
  <c r="E38" i="68" l="1"/>
  <c r="F38" i="68"/>
  <c r="D38" i="68"/>
  <c r="E35" i="67"/>
  <c r="F35" i="67"/>
  <c r="D35" i="67"/>
  <c r="D9" i="109"/>
  <c r="E9" i="109"/>
  <c r="E28" i="91"/>
  <c r="F28" i="91"/>
  <c r="G28" i="91"/>
  <c r="H28" i="91"/>
  <c r="I28" i="91"/>
  <c r="J28" i="91"/>
  <c r="K28" i="91"/>
  <c r="L28" i="91"/>
  <c r="M28" i="91"/>
  <c r="N28" i="91"/>
  <c r="O28" i="91"/>
  <c r="E24" i="91"/>
  <c r="F24" i="91"/>
  <c r="G24" i="91"/>
  <c r="H24" i="91"/>
  <c r="I24" i="91"/>
  <c r="J24" i="91"/>
  <c r="K24" i="91"/>
  <c r="L24" i="91"/>
  <c r="M24" i="91"/>
  <c r="N24" i="91"/>
  <c r="O24" i="91"/>
  <c r="D24" i="91"/>
  <c r="D28" i="91" s="1"/>
  <c r="E15" i="91"/>
  <c r="F15" i="91"/>
  <c r="G15" i="91"/>
  <c r="H15" i="91"/>
  <c r="I15" i="91"/>
  <c r="J15" i="91"/>
  <c r="K15" i="91"/>
  <c r="L15" i="91"/>
  <c r="M15" i="91"/>
  <c r="N15" i="91"/>
  <c r="O15" i="91"/>
  <c r="D15" i="91"/>
  <c r="E18" i="69"/>
  <c r="F18" i="69"/>
  <c r="D18" i="69"/>
  <c r="G53" i="102"/>
  <c r="H53" i="102"/>
  <c r="K53" i="102"/>
  <c r="L11" i="58" s="1"/>
  <c r="L53" i="102"/>
  <c r="G37" i="102"/>
  <c r="H37" i="102"/>
  <c r="K37" i="102"/>
  <c r="J11" i="58" s="1"/>
  <c r="L37" i="102"/>
  <c r="G21" i="102"/>
  <c r="H21" i="102"/>
  <c r="J21" i="102"/>
  <c r="K21" i="102"/>
  <c r="L21" i="102"/>
  <c r="F21" i="102"/>
  <c r="P24" i="91"/>
  <c r="P28" i="91" s="1"/>
  <c r="P20" i="91"/>
  <c r="P18" i="91"/>
  <c r="P15" i="91"/>
  <c r="P14" i="91"/>
  <c r="P13" i="91"/>
  <c r="A8" i="91"/>
  <c r="A9" i="91" s="1"/>
  <c r="A10" i="91" s="1"/>
  <c r="A11" i="91" s="1"/>
  <c r="A12" i="91" s="1"/>
  <c r="A13" i="91" s="1"/>
  <c r="A14" i="91" s="1"/>
  <c r="A15" i="91" s="1"/>
  <c r="A16" i="91" s="1"/>
  <c r="A17" i="91" s="1"/>
  <c r="A18" i="91" s="1"/>
  <c r="A19" i="91" s="1"/>
  <c r="A20" i="91" s="1"/>
  <c r="A21" i="91" s="1"/>
  <c r="A22" i="91" s="1"/>
  <c r="A23" i="91" s="1"/>
  <c r="A24" i="91" s="1"/>
  <c r="A25" i="91" s="1"/>
  <c r="A28" i="91" s="1"/>
  <c r="A29" i="91" s="1"/>
  <c r="D46" i="103" l="1"/>
  <c r="D45" i="103"/>
  <c r="F48" i="103"/>
  <c r="E48" i="103"/>
  <c r="D48" i="103"/>
  <c r="D47" i="103"/>
  <c r="D49" i="103" s="1"/>
  <c r="D42" i="103"/>
  <c r="E42" i="103"/>
  <c r="F42" i="103"/>
  <c r="D43" i="103"/>
  <c r="E43" i="103"/>
  <c r="F43" i="103"/>
  <c r="E41" i="103"/>
  <c r="F41" i="103"/>
  <c r="F44" i="103" s="1"/>
  <c r="D41" i="103"/>
  <c r="O21" i="71"/>
  <c r="N22" i="71"/>
  <c r="E11" i="93"/>
  <c r="M32" i="71"/>
  <c r="L32" i="71"/>
  <c r="K32" i="71"/>
  <c r="G32" i="71"/>
  <c r="M22" i="71"/>
  <c r="L22" i="71"/>
  <c r="H20" i="71"/>
  <c r="G20" i="71"/>
  <c r="F20" i="71"/>
  <c r="E20" i="71"/>
  <c r="D20" i="71"/>
  <c r="C20" i="71"/>
  <c r="K22" i="71"/>
  <c r="J22" i="71"/>
  <c r="H18" i="71"/>
  <c r="G18" i="71"/>
  <c r="G22" i="71" s="1"/>
  <c r="F18" i="71"/>
  <c r="F22" i="71" s="1"/>
  <c r="E18" i="71"/>
  <c r="D18" i="71"/>
  <c r="C18" i="71"/>
  <c r="C22" i="71" s="1"/>
  <c r="O11" i="71"/>
  <c r="N10" i="71"/>
  <c r="M10" i="71"/>
  <c r="L10" i="71"/>
  <c r="K10" i="71"/>
  <c r="J10" i="71"/>
  <c r="I10" i="71"/>
  <c r="H10" i="71"/>
  <c r="G10" i="71"/>
  <c r="F10" i="71"/>
  <c r="E10" i="71"/>
  <c r="D10" i="71"/>
  <c r="C10" i="71"/>
  <c r="O10" i="71" s="1"/>
  <c r="N8" i="71"/>
  <c r="N12" i="71" s="1"/>
  <c r="M8" i="71"/>
  <c r="M12" i="71" s="1"/>
  <c r="L8" i="71"/>
  <c r="L12" i="71" s="1"/>
  <c r="K8" i="71"/>
  <c r="K12" i="71" s="1"/>
  <c r="J8" i="71"/>
  <c r="J12" i="71" s="1"/>
  <c r="I8" i="71"/>
  <c r="I12" i="71" s="1"/>
  <c r="H8" i="71"/>
  <c r="H12" i="71" s="1"/>
  <c r="G8" i="71"/>
  <c r="G12" i="71" s="1"/>
  <c r="F8" i="71"/>
  <c r="F12" i="71" s="1"/>
  <c r="E8" i="71"/>
  <c r="E12" i="71" s="1"/>
  <c r="D8" i="71"/>
  <c r="D12" i="71" s="1"/>
  <c r="C8" i="71"/>
  <c r="C12" i="71" s="1"/>
  <c r="E44" i="103" l="1"/>
  <c r="O31" i="71"/>
  <c r="J32" i="71"/>
  <c r="H32" i="71"/>
  <c r="F32" i="71"/>
  <c r="O30" i="71"/>
  <c r="N32" i="71"/>
  <c r="I32" i="71"/>
  <c r="E32" i="71"/>
  <c r="D32" i="71"/>
  <c r="C32" i="71"/>
  <c r="D22" i="71"/>
  <c r="E22" i="71"/>
  <c r="H22" i="71"/>
  <c r="I22" i="71"/>
  <c r="O8" i="71"/>
  <c r="O12" i="71" s="1"/>
  <c r="O20" i="71"/>
  <c r="O28" i="71"/>
  <c r="O32" i="71" s="1"/>
  <c r="O18" i="71"/>
  <c r="J29" i="106"/>
  <c r="H29" i="106"/>
  <c r="F29" i="106"/>
  <c r="E29" i="106"/>
  <c r="B10" i="106"/>
  <c r="B11" i="106" s="1"/>
  <c r="B12" i="106" s="1"/>
  <c r="B13" i="106" s="1"/>
  <c r="B14" i="106" s="1"/>
  <c r="B15" i="106" s="1"/>
  <c r="B16" i="106" s="1"/>
  <c r="B17" i="106" s="1"/>
  <c r="B18" i="106" s="1"/>
  <c r="B19" i="106" s="1"/>
  <c r="B20" i="106" s="1"/>
  <c r="B21" i="106" s="1"/>
  <c r="B22" i="106" s="1"/>
  <c r="B23" i="106" s="1"/>
  <c r="B24" i="106" s="1"/>
  <c r="B25" i="106" s="1"/>
  <c r="B26" i="106" s="1"/>
  <c r="B27" i="106" s="1"/>
  <c r="O22" i="71" l="1"/>
  <c r="L15" i="58"/>
  <c r="D3" i="64" l="1"/>
  <c r="B3" i="106"/>
  <c r="B3" i="105"/>
  <c r="E3" i="104"/>
  <c r="E3" i="103"/>
  <c r="B3" i="102"/>
  <c r="D3" i="109"/>
  <c r="E3" i="93"/>
  <c r="B3" i="69"/>
  <c r="B2" i="68"/>
  <c r="A2" i="67"/>
  <c r="F3" i="66"/>
  <c r="I13" i="66"/>
  <c r="E13" i="104"/>
  <c r="H11" i="58"/>
  <c r="G11" i="58" s="1"/>
  <c r="F18" i="104"/>
  <c r="F12" i="93"/>
  <c r="F11" i="93"/>
  <c r="D13" i="93" l="1"/>
  <c r="F10" i="58" l="1"/>
  <c r="K13" i="66" l="1"/>
  <c r="F10" i="105" l="1"/>
  <c r="F11" i="105" s="1"/>
  <c r="G10" i="105"/>
  <c r="G11" i="105" s="1"/>
  <c r="H10" i="105"/>
  <c r="H11" i="105" s="1"/>
  <c r="I10" i="105"/>
  <c r="I11" i="105" s="1"/>
  <c r="J10" i="105"/>
  <c r="J11" i="105" s="1"/>
  <c r="E10" i="105"/>
  <c r="E11" i="105" s="1"/>
  <c r="E9" i="105" l="1"/>
  <c r="D20" i="69"/>
  <c r="F14" i="103"/>
  <c r="G14" i="103"/>
  <c r="I14" i="103"/>
  <c r="E14" i="103"/>
  <c r="F13" i="103"/>
  <c r="G13" i="103"/>
  <c r="H13" i="103"/>
  <c r="I13" i="103"/>
  <c r="J13" i="103"/>
  <c r="E13" i="103"/>
  <c r="E10" i="103"/>
  <c r="E9" i="103"/>
  <c r="I13" i="93" l="1"/>
  <c r="K12" i="58"/>
  <c r="K14" i="58" l="1"/>
  <c r="K10" i="58"/>
  <c r="K13" i="58"/>
  <c r="G15" i="58" l="1"/>
  <c r="H15" i="58" s="1"/>
  <c r="K15" i="58"/>
  <c r="D25" i="106"/>
  <c r="K16" i="58" l="1"/>
  <c r="I17" i="105"/>
  <c r="M11" i="102" l="1"/>
  <c r="J27" i="102" s="1"/>
  <c r="M12" i="102"/>
  <c r="J28" i="102" s="1"/>
  <c r="M15" i="102"/>
  <c r="M16" i="102"/>
  <c r="M17" i="102"/>
  <c r="M18" i="102"/>
  <c r="M19" i="102"/>
  <c r="M20" i="102"/>
  <c r="M10" i="102"/>
  <c r="M14" i="102"/>
  <c r="J26" i="102" l="1"/>
  <c r="M28" i="102"/>
  <c r="J44" i="102" s="1"/>
  <c r="M44" i="102" s="1"/>
  <c r="J32" i="102"/>
  <c r="J34" i="102"/>
  <c r="M34" i="102" s="1"/>
  <c r="J36" i="102"/>
  <c r="M36" i="102" s="1"/>
  <c r="J30" i="102"/>
  <c r="J35" i="102"/>
  <c r="M35" i="102" s="1"/>
  <c r="J33" i="102"/>
  <c r="M27" i="102"/>
  <c r="J43" i="102" s="1"/>
  <c r="J31" i="102"/>
  <c r="N13" i="102"/>
  <c r="I13" i="102"/>
  <c r="N20" i="102"/>
  <c r="I20" i="102"/>
  <c r="F36" i="102" s="1"/>
  <c r="N19" i="102"/>
  <c r="I19" i="102"/>
  <c r="F35" i="102" s="1"/>
  <c r="N18" i="102"/>
  <c r="I18" i="102"/>
  <c r="F34" i="102" s="1"/>
  <c r="N17" i="102"/>
  <c r="I17" i="102"/>
  <c r="F33" i="102" s="1"/>
  <c r="N33" i="102" s="1"/>
  <c r="N16" i="102"/>
  <c r="I16" i="102"/>
  <c r="F32" i="102" s="1"/>
  <c r="N15" i="102"/>
  <c r="I15" i="102"/>
  <c r="F31" i="102" s="1"/>
  <c r="N14" i="102"/>
  <c r="N12" i="102"/>
  <c r="I12" i="102"/>
  <c r="N11" i="102"/>
  <c r="I11" i="102"/>
  <c r="N10" i="102"/>
  <c r="I10" i="102"/>
  <c r="N21" i="102" l="1"/>
  <c r="M26" i="102"/>
  <c r="N32" i="102"/>
  <c r="N34" i="102"/>
  <c r="F29" i="102"/>
  <c r="N36" i="102"/>
  <c r="N31" i="102"/>
  <c r="N35" i="102"/>
  <c r="M43" i="102"/>
  <c r="M31" i="102"/>
  <c r="J47" i="102" s="1"/>
  <c r="M47" i="102" s="1"/>
  <c r="M33" i="102"/>
  <c r="J49" i="102" s="1"/>
  <c r="M49" i="102" s="1"/>
  <c r="M30" i="102"/>
  <c r="J46" i="102" s="1"/>
  <c r="M46" i="102" s="1"/>
  <c r="J42" i="102"/>
  <c r="M32" i="102"/>
  <c r="J48" i="102" s="1"/>
  <c r="M48" i="102" s="1"/>
  <c r="F26" i="102"/>
  <c r="O11" i="102"/>
  <c r="F27" i="102"/>
  <c r="N27" i="102" s="1"/>
  <c r="O12" i="102"/>
  <c r="F28" i="102"/>
  <c r="N28" i="102" s="1"/>
  <c r="O15" i="102"/>
  <c r="O16" i="102"/>
  <c r="O17" i="102"/>
  <c r="O18" i="102"/>
  <c r="O19" i="102"/>
  <c r="O20" i="102"/>
  <c r="J50" i="102"/>
  <c r="M50" i="102" s="1"/>
  <c r="O10" i="102"/>
  <c r="M13" i="102"/>
  <c r="M21" i="102" s="1"/>
  <c r="M42" i="102" l="1"/>
  <c r="J29" i="102"/>
  <c r="J37" i="102" s="1"/>
  <c r="I35" i="102"/>
  <c r="I33" i="102"/>
  <c r="O33" i="102" s="1"/>
  <c r="I32" i="102"/>
  <c r="O32" i="102" s="1"/>
  <c r="I31" i="102"/>
  <c r="O31" i="102" s="1"/>
  <c r="I29" i="102"/>
  <c r="I28" i="102"/>
  <c r="O28" i="102" s="1"/>
  <c r="I27" i="102"/>
  <c r="O27" i="102" s="1"/>
  <c r="N26" i="102"/>
  <c r="I26" i="102"/>
  <c r="O13" i="102"/>
  <c r="F42" i="102" l="1"/>
  <c r="F51" i="102"/>
  <c r="I51" i="102" s="1"/>
  <c r="O35" i="102"/>
  <c r="M29" i="102"/>
  <c r="M37" i="102" s="1"/>
  <c r="N29" i="102"/>
  <c r="F43" i="102"/>
  <c r="F44" i="102"/>
  <c r="N44" i="102" s="1"/>
  <c r="F45" i="102"/>
  <c r="F47" i="102"/>
  <c r="N47" i="102" s="1"/>
  <c r="F48" i="102"/>
  <c r="N48" i="102" s="1"/>
  <c r="F49" i="102"/>
  <c r="N49" i="102" s="1"/>
  <c r="O26" i="102"/>
  <c r="I34" i="102"/>
  <c r="N42" i="102" l="1"/>
  <c r="I42" i="102"/>
  <c r="N43" i="102"/>
  <c r="F50" i="102"/>
  <c r="N50" i="102" s="1"/>
  <c r="O34" i="102"/>
  <c r="O42" i="102"/>
  <c r="J45" i="102"/>
  <c r="O29" i="102"/>
  <c r="J51" i="102"/>
  <c r="I49" i="102"/>
  <c r="O49" i="102" s="1"/>
  <c r="I48" i="102"/>
  <c r="O48" i="102" s="1"/>
  <c r="I47" i="102"/>
  <c r="O47" i="102" s="1"/>
  <c r="I45" i="102"/>
  <c r="I44" i="102"/>
  <c r="O44" i="102" s="1"/>
  <c r="I43" i="102"/>
  <c r="I50" i="102" l="1"/>
  <c r="O50" i="102" s="1"/>
  <c r="O43" i="102"/>
  <c r="M51" i="102"/>
  <c r="O51" i="102" s="1"/>
  <c r="N51" i="102"/>
  <c r="M45" i="102"/>
  <c r="N45" i="102"/>
  <c r="O45" i="102" l="1"/>
  <c r="F25" i="67" l="1"/>
  <c r="F33" i="67" s="1"/>
  <c r="E25" i="67"/>
  <c r="E33" i="67" s="1"/>
  <c r="D25" i="67"/>
  <c r="D33" i="67" s="1"/>
  <c r="K11" i="66" l="1"/>
  <c r="I11" i="66"/>
  <c r="G11" i="103"/>
  <c r="E15" i="109"/>
  <c r="K21" i="58" l="1"/>
  <c r="D11" i="105"/>
  <c r="I17" i="104" l="1"/>
  <c r="D15" i="109"/>
  <c r="D13" i="105"/>
  <c r="D11" i="103"/>
  <c r="D19" i="103" l="1"/>
  <c r="F11" i="66" l="1"/>
  <c r="G11" i="66" s="1"/>
  <c r="F36" i="68"/>
  <c r="E36" i="68"/>
  <c r="D36" i="68"/>
  <c r="F13" i="66"/>
  <c r="G13" i="66" s="1"/>
  <c r="G13" i="93"/>
  <c r="F15" i="109"/>
  <c r="E34" i="103"/>
  <c r="D34" i="103"/>
  <c r="D39" i="103" s="1"/>
  <c r="D17" i="105"/>
  <c r="J17" i="105"/>
  <c r="H17" i="105"/>
  <c r="G17" i="105"/>
  <c r="F17" i="105"/>
  <c r="E17" i="105"/>
  <c r="G13" i="105"/>
  <c r="K12" i="66" l="1"/>
  <c r="K14" i="66" s="1"/>
  <c r="J12" i="104" s="1"/>
  <c r="I12" i="66"/>
  <c r="I14" i="66" s="1"/>
  <c r="H12" i="104" s="1"/>
  <c r="E35" i="103"/>
  <c r="E37" i="103" s="1"/>
  <c r="E47" i="103" s="1"/>
  <c r="F12" i="66"/>
  <c r="G12" i="66" s="1"/>
  <c r="G14" i="66" s="1"/>
  <c r="F12" i="104" s="1"/>
  <c r="F10" i="103"/>
  <c r="H10" i="103" s="1"/>
  <c r="F9" i="105"/>
  <c r="F19" i="105" s="1"/>
  <c r="D18" i="109"/>
  <c r="D21" i="109" s="1"/>
  <c r="F9" i="109"/>
  <c r="F18" i="109" s="1"/>
  <c r="F21" i="109" s="1"/>
  <c r="D19" i="105"/>
  <c r="D20" i="105" s="1"/>
  <c r="E18" i="109"/>
  <c r="E21" i="109" s="1"/>
  <c r="I10" i="58"/>
  <c r="E45" i="103"/>
  <c r="D44" i="103"/>
  <c r="F12" i="58"/>
  <c r="G19" i="103"/>
  <c r="I12" i="58" s="1"/>
  <c r="G19" i="105"/>
  <c r="F14" i="66" l="1"/>
  <c r="E12" i="104" s="1"/>
  <c r="F34" i="103"/>
  <c r="F35" i="103" s="1"/>
  <c r="F37" i="103" s="1"/>
  <c r="F47" i="103" s="1"/>
  <c r="E39" i="103"/>
  <c r="E19" i="105"/>
  <c r="I36" i="102"/>
  <c r="F9" i="103"/>
  <c r="F11" i="103" s="1"/>
  <c r="E11" i="103"/>
  <c r="F13" i="93"/>
  <c r="H9" i="103"/>
  <c r="J10" i="58"/>
  <c r="H10" i="58"/>
  <c r="F18" i="103"/>
  <c r="E46" i="103"/>
  <c r="H10" i="93"/>
  <c r="H13" i="93" s="1"/>
  <c r="J10" i="93" s="1"/>
  <c r="J13" i="93" s="1"/>
  <c r="E13" i="105"/>
  <c r="H9" i="105" s="1"/>
  <c r="F13" i="105"/>
  <c r="F20" i="105" s="1"/>
  <c r="F21" i="105" s="1"/>
  <c r="H14" i="58" s="1"/>
  <c r="D21" i="69"/>
  <c r="L10" i="58"/>
  <c r="E49" i="103"/>
  <c r="G20" i="105"/>
  <c r="I14" i="58" s="1"/>
  <c r="F14" i="58"/>
  <c r="G10" i="58" l="1"/>
  <c r="F39" i="103"/>
  <c r="F45" i="103"/>
  <c r="F52" i="102"/>
  <c r="I52" i="102" s="1"/>
  <c r="O36" i="102"/>
  <c r="I14" i="102"/>
  <c r="E20" i="105"/>
  <c r="E21" i="105" s="1"/>
  <c r="G14" i="58" s="1"/>
  <c r="J9" i="103"/>
  <c r="H11" i="103"/>
  <c r="H19" i="105"/>
  <c r="H13" i="105"/>
  <c r="I21" i="102" l="1"/>
  <c r="E21" i="102" s="1"/>
  <c r="F49" i="103"/>
  <c r="F46" i="103"/>
  <c r="F30" i="102"/>
  <c r="F37" i="102" s="1"/>
  <c r="O14" i="102"/>
  <c r="J52" i="102"/>
  <c r="J53" i="102" s="1"/>
  <c r="J9" i="105"/>
  <c r="H20" i="105"/>
  <c r="O21" i="102" l="1"/>
  <c r="H13" i="104"/>
  <c r="J13" i="104"/>
  <c r="M52" i="102"/>
  <c r="M53" i="102" s="1"/>
  <c r="N52" i="102"/>
  <c r="N30" i="102"/>
  <c r="N37" i="102" s="1"/>
  <c r="F13" i="104"/>
  <c r="H14" i="103"/>
  <c r="H16" i="103" s="1"/>
  <c r="E20" i="69"/>
  <c r="E21" i="69" s="1"/>
  <c r="I30" i="102"/>
  <c r="I37" i="102" s="1"/>
  <c r="H21" i="105"/>
  <c r="J14" i="58" s="1"/>
  <c r="E15" i="103"/>
  <c r="E17" i="103" s="1"/>
  <c r="E16" i="103"/>
  <c r="F16" i="103"/>
  <c r="F15" i="103"/>
  <c r="F17" i="103" s="1"/>
  <c r="J19" i="105"/>
  <c r="J13" i="105"/>
  <c r="J15" i="58"/>
  <c r="I15" i="58"/>
  <c r="F15" i="58"/>
  <c r="F19" i="103" l="1"/>
  <c r="F21" i="103" s="1"/>
  <c r="H12" i="58" s="1"/>
  <c r="E19" i="103"/>
  <c r="E21" i="103" s="1"/>
  <c r="G12" i="58" s="1"/>
  <c r="O30" i="102"/>
  <c r="O37" i="102" s="1"/>
  <c r="O52" i="102"/>
  <c r="H15" i="103"/>
  <c r="H17" i="103" s="1"/>
  <c r="H19" i="103" s="1"/>
  <c r="H21" i="103" s="1"/>
  <c r="J12" i="58" s="1"/>
  <c r="J10" i="103"/>
  <c r="J11" i="103" s="1"/>
  <c r="F46" i="102"/>
  <c r="F53" i="102" s="1"/>
  <c r="J20" i="105"/>
  <c r="J21" i="105" s="1"/>
  <c r="L14" i="58" s="1"/>
  <c r="N46" i="102" l="1"/>
  <c r="N53" i="102" s="1"/>
  <c r="F20" i="69"/>
  <c r="F21" i="69" s="1"/>
  <c r="I46" i="102"/>
  <c r="I53" i="102" s="1"/>
  <c r="E37" i="102"/>
  <c r="O46" i="102" l="1"/>
  <c r="O53" i="102" s="1"/>
  <c r="E53" i="102"/>
  <c r="J14" i="103"/>
  <c r="J15" i="103" s="1"/>
  <c r="J17" i="103" s="1"/>
  <c r="J19" i="103" s="1"/>
  <c r="J21" i="103" s="1"/>
  <c r="L12" i="58" s="1"/>
  <c r="B19" i="58"/>
  <c r="B20" i="58" s="1"/>
  <c r="J16" i="103" l="1"/>
  <c r="B10" i="105"/>
  <c r="B11" i="105" s="1"/>
  <c r="B12" i="105" s="1"/>
  <c r="B13" i="105" s="1"/>
  <c r="B15" i="105" s="1"/>
  <c r="B16" i="105" s="1"/>
  <c r="B17" i="105" s="1"/>
  <c r="B19" i="105" s="1"/>
  <c r="B10" i="104"/>
  <c r="B11" i="104" s="1"/>
  <c r="B12" i="104" s="1"/>
  <c r="B13" i="104" s="1"/>
  <c r="B14" i="104" s="1"/>
  <c r="B16" i="104" s="1"/>
  <c r="B17" i="104" s="1"/>
  <c r="B18" i="104" s="1"/>
  <c r="B19" i="104" s="1"/>
  <c r="B10" i="103"/>
  <c r="B11" i="103" s="1"/>
  <c r="B12" i="103" s="1"/>
  <c r="B13" i="103" s="1"/>
  <c r="B14" i="103" s="1"/>
  <c r="B15" i="103" s="1"/>
  <c r="B16" i="103" s="1"/>
  <c r="B17" i="103" s="1"/>
  <c r="B18" i="103" s="1"/>
  <c r="B19" i="103" s="1"/>
  <c r="B20" i="103" s="1"/>
  <c r="B21" i="103" s="1"/>
  <c r="B20" i="105" l="1"/>
  <c r="B21" i="105" s="1"/>
  <c r="B11" i="58"/>
  <c r="B12" i="58" s="1"/>
  <c r="B13" i="58" s="1"/>
  <c r="B14" i="58" s="1"/>
  <c r="B15" i="58" s="1"/>
  <c r="B16" i="58" s="1"/>
  <c r="B7" i="57" l="1"/>
  <c r="B8" i="57" s="1"/>
  <c r="B9" i="57" s="1"/>
  <c r="B10" i="57" s="1"/>
  <c r="B11" i="57" l="1"/>
  <c r="B12" i="57" s="1"/>
  <c r="B13" i="57" s="1"/>
  <c r="B12" i="66"/>
  <c r="B13" i="66" s="1"/>
  <c r="B14" i="66" s="1"/>
  <c r="B27" i="67"/>
  <c r="B28" i="67" s="1"/>
  <c r="B29" i="67" s="1"/>
  <c r="B30" i="67" s="1"/>
  <c r="B14" i="57" l="1"/>
  <c r="B15" i="57" s="1"/>
  <c r="B16" i="57" s="1"/>
  <c r="B17" i="57" s="1"/>
  <c r="B18" i="57" s="1"/>
  <c r="B19" i="57" s="1"/>
  <c r="B20" i="57" s="1"/>
  <c r="B21" i="57" l="1"/>
  <c r="B22" i="57" s="1"/>
  <c r="B23" i="57" s="1"/>
  <c r="B24" i="57" s="1"/>
  <c r="B25" i="57" s="1"/>
  <c r="B26" i="57" s="1"/>
  <c r="F13" i="58"/>
  <c r="I13" i="58"/>
  <c r="I16" i="58" s="1"/>
  <c r="I21" i="58" l="1"/>
  <c r="G17" i="104" s="1"/>
  <c r="F16" i="58"/>
  <c r="F21" i="58" s="1"/>
  <c r="D17" i="104" s="1"/>
  <c r="G13" i="58" l="1"/>
  <c r="H13" i="58"/>
  <c r="J13" i="58"/>
  <c r="L13" i="58"/>
  <c r="G16" i="58"/>
  <c r="H16" i="58"/>
  <c r="J16" i="58"/>
  <c r="L16" i="58"/>
  <c r="G21" i="58"/>
  <c r="H21" i="58"/>
  <c r="J21" i="58"/>
  <c r="L21" i="58"/>
  <c r="E14" i="104"/>
  <c r="F14" i="104"/>
  <c r="H14" i="104"/>
  <c r="J14" i="104"/>
  <c r="E17" i="104"/>
  <c r="F17" i="104"/>
  <c r="H17" i="104"/>
  <c r="J17" i="104"/>
  <c r="E19" i="104"/>
  <c r="F19" i="104"/>
  <c r="H19" i="104"/>
  <c r="J19" i="104"/>
</calcChain>
</file>

<file path=xl/sharedStrings.xml><?xml version="1.0" encoding="utf-8"?>
<sst xmlns="http://schemas.openxmlformats.org/spreadsheetml/2006/main" count="778" uniqueCount="368">
  <si>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</si>
  <si>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</si>
  <si>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</si>
  <si>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</si>
  <si>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</si>
  <si>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</si>
  <si>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</si>
  <si>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</si>
  <si>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</si>
  <si>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</si>
  <si>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</si>
  <si>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</si>
  <si>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</si>
  <si>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</si>
  <si>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</si>
  <si>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</si>
  <si>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</si>
  <si>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</si>
  <si>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</si>
  <si>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</si>
  <si>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</si>
  <si>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</si>
  <si>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</si>
  <si>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</si>
  <si>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</si>
  <si>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</si>
  <si>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</si>
  <si>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</si>
  <si>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</si>
  <si>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</si>
  <si>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</si>
  <si>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</si>
  <si>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</si>
  <si>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</si>
  <si>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</si>
  <si>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</si>
  <si>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</si>
  <si>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</si>
  <si>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</si>
  <si>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</si>
  <si>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</si>
  <si>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</si>
  <si>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</si>
  <si>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</si>
  <si>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</si>
  <si>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</si>
  <si>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</si>
  <si>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</si>
  <si>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</si>
  <si>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</si>
  <si>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</si>
  <si>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</si>
  <si>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</si>
  <si>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</si>
  <si>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</si>
  <si>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</si>
  <si>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</si>
  <si>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</si>
  <si>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</si>
  <si>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</si>
  <si>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</si>
  <si>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</si>
  <si>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</si>
  <si>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</si>
  <si>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</si>
  <si>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</si>
  <si>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</si>
  <si>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</si>
  <si>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</si>
  <si>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</si>
  <si>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</si>
  <si>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</si>
  <si>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</si>
  <si>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</si>
  <si>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</si>
  <si>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</si>
  <si>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</si>
  <si>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</si>
  <si>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</si>
  <si>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</si>
  <si>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</si>
  <si>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</si>
  <si>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</si>
  <si>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</si>
  <si>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</si>
  <si>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</si>
  <si>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</si>
  <si>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</si>
  <si>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</si>
  <si>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</si>
  <si>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</si>
  <si>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</si>
  <si>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</si>
  <si>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</si>
  <si>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</si>
  <si>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</si>
  <si>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</si>
  <si>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</si>
  <si>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</si>
  <si>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</si>
  <si>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</si>
  <si>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</si>
  <si>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</si>
  <si>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</si>
  <si>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</si>
  <si>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</si>
  <si>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</si>
  <si>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</si>
  <si>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</si>
  <si>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</si>
  <si>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</si>
  <si>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</si>
  <si>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</si>
  <si>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</si>
  <si>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</si>
  <si>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</si>
  <si>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</si>
  <si>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</si>
  <si>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</si>
  <si>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</si>
  <si>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</si>
  <si>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</si>
  <si>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</si>
  <si>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</si>
  <si>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</si>
  <si>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</si>
  <si>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</si>
  <si>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</si>
  <si>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</si>
  <si>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</si>
  <si>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</si>
  <si>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</si>
  <si>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</si>
  <si>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</si>
  <si>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</si>
  <si>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</si>
  <si>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</si>
  <si>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</si>
  <si>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</si>
  <si>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</si>
  <si>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</si>
  <si>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</si>
  <si>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</si>
  <si>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>Revenue from sale of electricity</t>
  </si>
  <si>
    <t>Non-Tariff Income</t>
  </si>
  <si>
    <t>Form 12</t>
  </si>
  <si>
    <t>Unit 1 / Station 1</t>
  </si>
  <si>
    <t>Unit 2 / Station 2</t>
  </si>
  <si>
    <t xml:space="preserve">Depreciation </t>
  </si>
  <si>
    <t>Addition of Loan during the year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</si>
  <si>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</si>
  <si>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</si>
  <si>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</si>
  <si>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</si>
  <si>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</si>
  <si>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</si>
  <si>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</si>
  <si>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</si>
  <si>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</si>
  <si>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</si>
  <si>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</si>
  <si>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</si>
  <si>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</si>
  <si>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</si>
  <si>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</si>
  <si>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</si>
  <si>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</si>
  <si>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</si>
  <si>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</si>
  <si>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</si>
  <si>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</si>
  <si>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</si>
  <si>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</si>
  <si>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</si>
  <si>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</si>
  <si>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</si>
  <si>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</si>
  <si>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</si>
  <si>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</si>
  <si>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</si>
  <si>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</si>
  <si>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</si>
  <si>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</si>
  <si>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</si>
  <si>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</si>
  <si>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</si>
  <si>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</si>
  <si>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</si>
  <si>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</si>
  <si>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</si>
  <si>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</si>
  <si>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</si>
  <si>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</si>
  <si>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</si>
  <si>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</si>
  <si>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</si>
  <si>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</si>
  <si>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</si>
  <si>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</si>
  <si>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</si>
  <si>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</si>
  <si>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>n+1</t>
  </si>
  <si>
    <t xml:space="preserve">April-March     </t>
  </si>
  <si>
    <t>Claimed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</si>
  <si>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</si>
  <si>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</si>
  <si>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</si>
  <si>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</si>
  <si>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</si>
  <si>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</si>
  <si>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</si>
  <si>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</si>
  <si>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</si>
  <si>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</si>
  <si>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</si>
  <si>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</si>
  <si>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</si>
  <si>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</si>
  <si>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</si>
  <si>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</si>
  <si>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</si>
  <si>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</si>
  <si>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</si>
  <si>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</si>
  <si>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</si>
  <si>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</si>
  <si>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</si>
  <si>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</si>
  <si>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</si>
  <si>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</si>
  <si>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</si>
  <si>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</si>
  <si>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</si>
  <si>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</si>
  <si>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</si>
  <si>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</si>
  <si>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</si>
  <si>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</si>
  <si>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</si>
  <si>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</si>
  <si>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</si>
  <si>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</si>
  <si>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</si>
  <si>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</si>
  <si>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</si>
  <si>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</si>
  <si>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</si>
  <si>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</si>
  <si>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</si>
  <si>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</si>
  <si>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</si>
  <si>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</si>
  <si>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</si>
  <si>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</si>
  <si>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</si>
  <si>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</si>
  <si>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</si>
  <si>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</si>
  <si>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</si>
  <si>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</si>
  <si>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</si>
  <si>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</si>
  <si>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</si>
  <si>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</si>
  <si>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</si>
  <si>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</si>
  <si>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</si>
  <si>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</si>
  <si>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</si>
  <si>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</si>
  <si>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</si>
  <si>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</si>
  <si>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r>
      <t xml:space="preserve">              </t>
    </r>
    <r>
      <rPr>
        <b/>
        <sz val="11"/>
        <rFont val="Arial"/>
        <family val="2"/>
      </rPr>
      <t xml:space="preserve">               </t>
    </r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</si>
  <si>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</si>
  <si>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</si>
  <si>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</si>
  <si>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</si>
  <si>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</si>
  <si>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</si>
  <si>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</si>
  <si>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</si>
  <si>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</si>
  <si>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</si>
  <si>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</si>
  <si>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</si>
  <si>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</si>
  <si>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</si>
  <si>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</si>
  <si>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</si>
  <si>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</si>
  <si>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</si>
  <si>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</si>
  <si>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</si>
  <si>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</si>
  <si>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</si>
  <si>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</si>
  <si>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</si>
  <si>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Unfunded past liabilities of pension &amp; gratuity</t>
  </si>
  <si>
    <t>AFC +Energy Charges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</si>
  <si>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</si>
  <si>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</si>
  <si>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t>1 In case actual availability is less or more than normative value, the modification in the formula need to be done accordingly.</t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</si>
  <si>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</si>
  <si>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</si>
  <si>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</si>
  <si>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</si>
  <si>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2024-25</t>
  </si>
  <si>
    <t>FY 2025-26</t>
  </si>
  <si>
    <t>Form 2.2: Administrative &amp; General Expenses</t>
  </si>
  <si>
    <t>Form 1: Summary Sheet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</si>
  <si>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</si>
  <si>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</si>
  <si>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</si>
  <si>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</si>
  <si>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</si>
  <si>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</si>
  <si>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</si>
  <si>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</si>
  <si>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</si>
  <si>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</si>
  <si>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</si>
  <si>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</si>
  <si>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</si>
  <si>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</si>
  <si>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</si>
  <si>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 xml:space="preserve">SALE OF TENDER SPECIFICATIONS                     </t>
  </si>
  <si>
    <t xml:space="preserve">VENDOR REGISTRATION FEE                           </t>
  </si>
  <si>
    <t xml:space="preserve">WATER CHARGES                                     </t>
  </si>
  <si>
    <t>Revised Proposal</t>
  </si>
  <si>
    <t>(enclosed as Annexure)</t>
  </si>
  <si>
    <t>True-Up requirement (normative)</t>
  </si>
  <si>
    <t>True-Up requirement (Normative)</t>
  </si>
  <si>
    <t>FY 2026-27</t>
  </si>
  <si>
    <t>FY 2025-6</t>
  </si>
  <si>
    <t>Priyadarshini Jurala HES</t>
  </si>
  <si>
    <t>LAND &amp;LAND RIGHTS</t>
  </si>
  <si>
    <t>BUILDINGS</t>
  </si>
  <si>
    <t>LINES AND CABLE NETWORK</t>
  </si>
  <si>
    <t>PLANT AND EQUIPMENT</t>
  </si>
  <si>
    <t>CAPITAL SPARES</t>
  </si>
  <si>
    <t>HYDRAULIC WORKS</t>
  </si>
  <si>
    <t>OTHER CIVIL WORKS</t>
  </si>
  <si>
    <t>VEHICLES</t>
  </si>
  <si>
    <t>FURNITURE &amp; FIXTURES</t>
  </si>
  <si>
    <t>OFFICE EQUIPMENTS</t>
  </si>
  <si>
    <t xml:space="preserve">PROFIT ON SALE OF FIXED ASSETS                    </t>
  </si>
  <si>
    <t>PJHES</t>
  </si>
  <si>
    <t>COMPUTERS*</t>
  </si>
  <si>
    <t>TGSPDCL (70.55% on 50%)</t>
  </si>
  <si>
    <t>TGNPDCL (29.45% on 50% )</t>
  </si>
  <si>
    <t>Karnataka ESCOMs (50%)</t>
  </si>
  <si>
    <t>TGSPDCL (70.55% on 50% )</t>
  </si>
  <si>
    <t>TGNPDCL (29.45% on 50%)</t>
  </si>
  <si>
    <t>Loan 1-PFC</t>
  </si>
  <si>
    <t xml:space="preserve">Telangana Power Generation Corporation Limited </t>
  </si>
  <si>
    <t>Lower Jurala (240 MW)</t>
  </si>
  <si>
    <t>Financial Year (FY 2024-25)</t>
  </si>
  <si>
    <t>Non-Tariff Income true-up</t>
  </si>
  <si>
    <t>Priyadarshini Jurala (234 MW)</t>
  </si>
  <si>
    <t>Name of the package           (BTG, BoP, Civil Works etc.)</t>
  </si>
  <si>
    <t>Capital expenditure during the year     (Rs. Crore)</t>
  </si>
  <si>
    <t>Asset group under which the capitalisation has been accounted                          (Land, Buldings, etc.)</t>
  </si>
  <si>
    <t>2024-25</t>
  </si>
  <si>
    <t>BTG</t>
  </si>
  <si>
    <t>HCL Global Line 2700 BD Mid-range server, 1450 server, Photo Copier Digital Mode: B1025DAD</t>
  </si>
  <si>
    <t>Clause No. 22.3</t>
  </si>
  <si>
    <t>2025-26</t>
  </si>
  <si>
    <t>2026-27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</si>
</sst>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8" formatCode="&quot;$&quot;#,##0.00_);[Red]\(&quot;$&quot;#,##0.00\)"/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000"/>
    <numFmt numFmtId="169" formatCode="0.000"/>
    <numFmt numFmtId="170" formatCode="0.00000000000"/>
    <numFmt numFmtId="171" formatCode="dd\.mm\.yyyy"/>
    <numFmt numFmtId="172" formatCode="_ * #,##0.000_ ;_ * \-#,##0.000_ ;_ * &quot;-&quot;???_ ;_ @_ "/>
    <numFmt numFmtId="173" formatCode="_(* #,##0.000_);_(* \(#,##0.000\);_(* &quot;-&quot;??_);_(@_)"/>
    <numFmt numFmtId="174" formatCode="_ &quot;రూ&quot;\ * #,##0.00_ ;_ &quot;రూ&quot;\ * \-#,##0.00_ ;_ &quot;రూ&quot;\ * &quot;-&quot;??_ ;_ @_ "/>
    <numFmt numFmtId="175" formatCode="0.000%"/>
    <numFmt numFmtId="176" formatCode="0.000000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rgb="FF000000"/>
      <name val="Times New Roman"/>
      <family val="1"/>
    </font>
    <font>
      <sz val="11"/>
      <color rgb="FFFF0000"/>
      <name val="Arial"/>
      <family val="2"/>
    </font>
    <font>
      <b/>
      <sz val="13"/>
      <name val="Calibri"/>
      <family val="2"/>
    </font>
    <font>
      <sz val="13"/>
      <name val="Calibri"/>
      <family val="2"/>
      <scheme val="minor"/>
    </font>
    <font>
      <b/>
      <sz val="13"/>
      <name val="Calibri"/>
      <family val="2"/>
      <scheme val="minor"/>
    </font>
    <font>
      <b/>
      <sz val="10"/>
      <name val="Arial"/>
      <family val="2"/>
    </font>
    <font>
      <b/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90">
    <xf numFmtId="0" fontId="0" fillId="0" borderId="0"/>
    <xf numFmtId="0" fontId="12" fillId="0" borderId="0" applyNumberFormat="0" applyFill="0" applyBorder="0" applyAlignment="0" applyProtection="0"/>
    <xf numFmtId="0" fontId="13" fillId="0" borderId="1"/>
    <xf numFmtId="0" fontId="13" fillId="0" borderId="1"/>
    <xf numFmtId="38" fontId="14" fillId="2" borderId="0" applyNumberFormat="0" applyBorder="0" applyAlignment="0" applyProtection="0"/>
    <xf numFmtId="0" fontId="15" fillId="0" borderId="2" applyNumberFormat="0" applyAlignment="0" applyProtection="0">
      <alignment horizontal="left" vertical="center"/>
    </xf>
    <xf numFmtId="0" fontId="15" fillId="0" borderId="3">
      <alignment horizontal="left" vertical="center"/>
    </xf>
    <xf numFmtId="10" fontId="14" fillId="3" borderId="4" applyNumberFormat="0" applyBorder="0" applyAlignment="0" applyProtection="0"/>
    <xf numFmtId="37" fontId="16" fillId="0" borderId="0"/>
    <xf numFmtId="166" fontId="17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>
      <alignment vertical="center"/>
    </xf>
    <xf numFmtId="167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0" fontId="11" fillId="0" borderId="0"/>
    <xf numFmtId="0" fontId="19" fillId="0" borderId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21" fillId="0" borderId="0"/>
    <xf numFmtId="9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/>
    <xf numFmtId="0" fontId="20" fillId="0" borderId="0"/>
    <xf numFmtId="0" fontId="20" fillId="0" borderId="0"/>
    <xf numFmtId="0" fontId="19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43" fontId="22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1" fillId="0" borderId="0"/>
    <xf numFmtId="0" fontId="11" fillId="0" borderId="0"/>
    <xf numFmtId="0" fontId="9" fillId="0" borderId="0"/>
    <xf numFmtId="0" fontId="11" fillId="0" borderId="0" applyBorder="0" applyProtection="0"/>
    <xf numFmtId="167" fontId="2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0" fontId="5" fillId="0" borderId="0"/>
    <xf numFmtId="164" fontId="28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2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8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17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4" fillId="0" borderId="0"/>
    <xf numFmtId="0" fontId="30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8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30" fillId="0" borderId="0"/>
    <xf numFmtId="0" fontId="4" fillId="0" borderId="0" applyFont="0" applyFill="0" applyBorder="0" applyAlignment="0" applyProtection="0"/>
    <xf numFmtId="0" fontId="4" fillId="0" borderId="0"/>
    <xf numFmtId="0" fontId="30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17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8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8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8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8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8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3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69">
    <xf numFmtId="0" fontId="0" fillId="0" borderId="0" xfId="0"/>
    <xf numFmtId="0" fontId="10" fillId="0" borderId="0" xfId="10" applyFont="1" applyAlignment="1">
      <alignment horizontal="center" vertical="center"/>
    </xf>
    <xf numFmtId="0" fontId="18" fillId="0" borderId="4" xfId="14" applyFont="1" applyBorder="1" applyAlignment="1">
      <alignment horizontal="center" vertical="center"/>
    </xf>
    <xf numFmtId="0" fontId="18" fillId="0" borderId="4" xfId="14" applyFont="1" applyBorder="1">
      <alignment vertical="center"/>
    </xf>
    <xf numFmtId="0" fontId="18" fillId="0" borderId="0" xfId="10" applyFont="1"/>
    <xf numFmtId="0" fontId="18" fillId="0" borderId="0" xfId="10" applyFont="1" applyAlignment="1">
      <alignment vertical="center"/>
    </xf>
    <xf numFmtId="0" fontId="10" fillId="0" borderId="0" xfId="14" applyFont="1">
      <alignment vertical="center"/>
    </xf>
    <xf numFmtId="0" fontId="10" fillId="0" borderId="4" xfId="14" applyFont="1" applyBorder="1" applyAlignment="1">
      <alignment horizontal="center" vertical="center"/>
    </xf>
    <xf numFmtId="0" fontId="10" fillId="0" borderId="4" xfId="14" applyFont="1" applyBorder="1" applyAlignment="1">
      <alignment horizontal="left" vertical="center"/>
    </xf>
    <xf numFmtId="0" fontId="10" fillId="0" borderId="4" xfId="14" applyFont="1" applyBorder="1" applyAlignment="1">
      <alignment vertical="top" wrapText="1"/>
    </xf>
    <xf numFmtId="0" fontId="10" fillId="0" borderId="0" xfId="10" applyFont="1"/>
    <xf numFmtId="0" fontId="15" fillId="0" borderId="8" xfId="14" applyFont="1" applyBorder="1" applyAlignment="1">
      <alignment horizontal="center" vertical="center"/>
    </xf>
    <xf numFmtId="0" fontId="15" fillId="0" borderId="4" xfId="14" applyFont="1" applyBorder="1" applyAlignment="1">
      <alignment horizontal="center" vertical="center"/>
    </xf>
    <xf numFmtId="0" fontId="18" fillId="0" borderId="0" xfId="14" applyFont="1">
      <alignment vertical="center"/>
    </xf>
    <xf numFmtId="0" fontId="23" fillId="0" borderId="4" xfId="14" applyFont="1" applyBorder="1" applyAlignment="1">
      <alignment horizontal="center" vertical="center"/>
    </xf>
    <xf numFmtId="0" fontId="23" fillId="0" borderId="4" xfId="14" applyFont="1" applyBorder="1" applyAlignment="1">
      <alignment horizontal="center" vertical="center" wrapText="1"/>
    </xf>
    <xf numFmtId="0" fontId="18" fillId="0" borderId="4" xfId="14" applyFont="1" applyBorder="1" applyAlignment="1">
      <alignment horizontal="left" vertical="center"/>
    </xf>
    <xf numFmtId="0" fontId="18" fillId="5" borderId="4" xfId="14" applyFont="1" applyFill="1" applyBorder="1" applyAlignment="1">
      <alignment horizontal="left" vertical="center"/>
    </xf>
    <xf numFmtId="0" fontId="18" fillId="0" borderId="4" xfId="14" applyFont="1" applyBorder="1" applyAlignment="1">
      <alignment vertical="top" wrapText="1"/>
    </xf>
    <xf numFmtId="0" fontId="23" fillId="0" borderId="4" xfId="14" applyFont="1" applyBorder="1">
      <alignment vertical="center"/>
    </xf>
    <xf numFmtId="0" fontId="18" fillId="0" borderId="4" xfId="10" applyFont="1" applyBorder="1" applyAlignment="1">
      <alignment horizontal="center" vertical="center"/>
    </xf>
    <xf numFmtId="0" fontId="18" fillId="0" borderId="4" xfId="10" applyFont="1" applyBorder="1" applyAlignment="1">
      <alignment horizontal="center" vertical="center" wrapText="1"/>
    </xf>
    <xf numFmtId="0" fontId="23" fillId="0" borderId="7" xfId="10" applyFont="1" applyBorder="1" applyAlignment="1">
      <alignment horizontal="center" vertical="center" wrapText="1"/>
    </xf>
    <xf numFmtId="0" fontId="23" fillId="0" borderId="4" xfId="10" applyFont="1" applyBorder="1" applyAlignment="1">
      <alignment horizontal="center" vertical="center"/>
    </xf>
    <xf numFmtId="0" fontId="23" fillId="0" borderId="0" xfId="10" applyFont="1" applyAlignment="1">
      <alignment horizontal="left" vertical="center"/>
    </xf>
    <xf numFmtId="0" fontId="23" fillId="0" borderId="0" xfId="10" applyFont="1" applyAlignment="1">
      <alignment horizontal="right" vertical="center"/>
    </xf>
    <xf numFmtId="0" fontId="23" fillId="0" borderId="0" xfId="14" applyFont="1" applyAlignment="1">
      <alignment horizontal="right" vertical="center"/>
    </xf>
    <xf numFmtId="0" fontId="18" fillId="0" borderId="4" xfId="1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18" fillId="0" borderId="4" xfId="10" applyFont="1" applyBorder="1" applyAlignment="1">
      <alignment horizontal="left" vertical="center"/>
    </xf>
    <xf numFmtId="0" fontId="23" fillId="0" borderId="4" xfId="10" applyFont="1" applyBorder="1" applyAlignment="1">
      <alignment horizontal="left" vertical="center" wrapText="1"/>
    </xf>
    <xf numFmtId="0" fontId="23" fillId="0" borderId="4" xfId="10" applyFont="1" applyBorder="1" applyAlignment="1">
      <alignment horizontal="center" vertical="center" wrapText="1"/>
    </xf>
    <xf numFmtId="0" fontId="23" fillId="0" borderId="0" xfId="10" applyFont="1" applyAlignment="1">
      <alignment vertical="center"/>
    </xf>
    <xf numFmtId="0" fontId="23" fillId="0" borderId="0" xfId="14" applyFont="1" applyAlignment="1">
      <alignment horizontal="center" vertical="center"/>
    </xf>
    <xf numFmtId="0" fontId="18" fillId="0" borderId="0" xfId="10" applyFont="1" applyAlignment="1">
      <alignment horizontal="center" vertical="center"/>
    </xf>
    <xf numFmtId="0" fontId="23" fillId="0" borderId="0" xfId="10" applyFont="1" applyAlignment="1">
      <alignment horizontal="center" vertical="center"/>
    </xf>
    <xf numFmtId="0" fontId="23" fillId="0" borderId="0" xfId="14" applyFont="1">
      <alignment vertical="center"/>
    </xf>
    <xf numFmtId="0" fontId="18" fillId="0" borderId="4" xfId="10" applyFont="1" applyBorder="1" applyAlignment="1">
      <alignment horizontal="left" vertical="center" wrapText="1"/>
    </xf>
    <xf numFmtId="0" fontId="23" fillId="0" borderId="4" xfId="10" applyFont="1" applyBorder="1" applyAlignment="1">
      <alignment vertical="center"/>
    </xf>
    <xf numFmtId="0" fontId="18" fillId="0" borderId="4" xfId="10" applyFont="1" applyBorder="1" applyAlignment="1">
      <alignment horizontal="right" vertical="center"/>
    </xf>
    <xf numFmtId="0" fontId="23" fillId="0" borderId="0" xfId="10" applyFont="1" applyAlignment="1">
      <alignment horizontal="centerContinuous"/>
    </xf>
    <xf numFmtId="0" fontId="18" fillId="0" borderId="0" xfId="10" applyFont="1" applyAlignment="1">
      <alignment horizontal="centerContinuous"/>
    </xf>
    <xf numFmtId="0" fontId="18" fillId="0" borderId="4" xfId="10" applyFont="1" applyBorder="1"/>
    <xf numFmtId="0" fontId="23" fillId="0" borderId="4" xfId="10" applyFont="1" applyBorder="1"/>
    <xf numFmtId="0" fontId="23" fillId="0" borderId="0" xfId="10" applyFont="1" applyAlignment="1">
      <alignment horizontal="justify" vertical="top" wrapText="1"/>
    </xf>
    <xf numFmtId="0" fontId="18" fillId="0" borderId="0" xfId="10" applyFont="1" applyAlignment="1">
      <alignment horizontal="left"/>
    </xf>
    <xf numFmtId="0" fontId="18" fillId="0" borderId="4" xfId="10" applyFont="1" applyBorder="1" applyAlignment="1">
      <alignment wrapText="1"/>
    </xf>
    <xf numFmtId="0" fontId="18" fillId="0" borderId="0" xfId="10" applyFont="1" applyAlignment="1">
      <alignment horizontal="left" vertical="center"/>
    </xf>
    <xf numFmtId="0" fontId="18" fillId="0" borderId="0" xfId="10" applyFont="1" applyAlignment="1">
      <alignment horizontal="right" vertical="center"/>
    </xf>
    <xf numFmtId="0" fontId="24" fillId="0" borderId="0" xfId="10" applyFont="1" applyAlignment="1">
      <alignment horizontal="left" vertical="center"/>
    </xf>
    <xf numFmtId="0" fontId="24" fillId="0" borderId="0" xfId="10" applyFont="1" applyAlignment="1">
      <alignment vertical="center"/>
    </xf>
    <xf numFmtId="0" fontId="24" fillId="0" borderId="0" xfId="10" applyFont="1" applyAlignment="1">
      <alignment horizontal="center" vertical="center"/>
    </xf>
    <xf numFmtId="0" fontId="18" fillId="0" borderId="4" xfId="10" quotePrefix="1" applyFont="1" applyBorder="1" applyAlignment="1">
      <alignment horizontal="left" vertical="top" wrapText="1"/>
    </xf>
    <xf numFmtId="0" fontId="18" fillId="0" borderId="4" xfId="10" applyFont="1" applyBorder="1" applyAlignment="1">
      <alignment horizontal="left"/>
    </xf>
    <xf numFmtId="0" fontId="23" fillId="0" borderId="4" xfId="10" applyFont="1" applyBorder="1" applyAlignment="1">
      <alignment horizontal="left"/>
    </xf>
    <xf numFmtId="0" fontId="18" fillId="0" borderId="0" xfId="14" applyFont="1" applyAlignment="1">
      <alignment horizontal="center" vertical="center"/>
    </xf>
    <xf numFmtId="0" fontId="18" fillId="0" borderId="4" xfId="10" applyFont="1" applyBorder="1" applyAlignment="1">
      <alignment horizontal="left" vertical="top" wrapText="1"/>
    </xf>
    <xf numFmtId="0" fontId="23" fillId="0" borderId="0" xfId="10" applyFont="1" applyAlignment="1">
      <alignment horizontal="left"/>
    </xf>
    <xf numFmtId="0" fontId="23" fillId="0" borderId="0" xfId="10" applyFont="1" applyAlignment="1">
      <alignment horizontal="right"/>
    </xf>
    <xf numFmtId="0" fontId="23" fillId="0" borderId="0" xfId="10" applyFont="1" applyAlignment="1">
      <alignment horizontal="left" vertical="center" wrapText="1"/>
    </xf>
    <xf numFmtId="0" fontId="23" fillId="0" borderId="0" xfId="10" applyFont="1" applyAlignment="1">
      <alignment horizontal="center" vertical="center" wrapText="1"/>
    </xf>
    <xf numFmtId="0" fontId="18" fillId="0" borderId="7" xfId="10" applyFont="1" applyBorder="1" applyAlignment="1">
      <alignment horizontal="center" vertical="center"/>
    </xf>
    <xf numFmtId="0" fontId="24" fillId="0" borderId="0" xfId="10" applyFont="1" applyAlignment="1">
      <alignment horizontal="right" vertical="center"/>
    </xf>
    <xf numFmtId="0" fontId="18" fillId="0" borderId="0" xfId="10" applyFont="1" applyAlignment="1">
      <alignment horizontal="center"/>
    </xf>
    <xf numFmtId="0" fontId="23" fillId="4" borderId="13" xfId="67" applyFont="1" applyFill="1" applyBorder="1" applyAlignment="1">
      <alignment horizontal="center" vertical="center" wrapText="1"/>
    </xf>
    <xf numFmtId="0" fontId="23" fillId="4" borderId="14" xfId="67" applyFont="1" applyFill="1" applyBorder="1" applyAlignment="1">
      <alignment horizontal="center" vertical="center" wrapText="1"/>
    </xf>
    <xf numFmtId="0" fontId="18" fillId="4" borderId="12" xfId="67" applyFont="1" applyFill="1" applyBorder="1" applyAlignment="1">
      <alignment horizontal="center" vertical="center"/>
    </xf>
    <xf numFmtId="0" fontId="23" fillId="4" borderId="13" xfId="67" applyFont="1" applyFill="1" applyBorder="1" applyAlignment="1">
      <alignment horizontal="center" vertical="center"/>
    </xf>
    <xf numFmtId="0" fontId="15" fillId="0" borderId="0" xfId="14" applyFont="1" applyAlignment="1">
      <alignment horizontal="center" vertical="center"/>
    </xf>
    <xf numFmtId="0" fontId="18" fillId="0" borderId="4" xfId="10" applyFont="1" applyBorder="1" applyAlignment="1">
      <alignment vertical="center" wrapText="1"/>
    </xf>
    <xf numFmtId="0" fontId="18" fillId="0" borderId="9" xfId="14" applyFont="1" applyBorder="1">
      <alignment vertical="center"/>
    </xf>
    <xf numFmtId="0" fontId="23" fillId="0" borderId="4" xfId="10" applyFont="1" applyBorder="1" applyAlignment="1">
      <alignment vertical="center" wrapText="1"/>
    </xf>
    <xf numFmtId="0" fontId="23" fillId="4" borderId="4" xfId="14" applyFont="1" applyFill="1" applyBorder="1" applyAlignment="1">
      <alignment horizontal="center" vertical="center" wrapText="1"/>
    </xf>
    <xf numFmtId="0" fontId="23" fillId="0" borderId="0" xfId="10" applyFont="1" applyAlignment="1">
      <alignment horizontal="centerContinuous" vertical="center"/>
    </xf>
    <xf numFmtId="0" fontId="18" fillId="0" borderId="0" xfId="10" applyFont="1" applyAlignment="1">
      <alignment horizontal="centerContinuous" vertical="center"/>
    </xf>
    <xf numFmtId="0" fontId="23" fillId="4" borderId="4" xfId="10" quotePrefix="1" applyFont="1" applyFill="1" applyBorder="1" applyAlignment="1">
      <alignment horizontal="center" vertical="center" wrapText="1"/>
    </xf>
    <xf numFmtId="0" fontId="23" fillId="4" borderId="4" xfId="10" applyFont="1" applyFill="1" applyBorder="1" applyAlignment="1">
      <alignment horizontal="left" vertical="center" wrapText="1"/>
    </xf>
    <xf numFmtId="0" fontId="23" fillId="4" borderId="4" xfId="10" applyFont="1" applyFill="1" applyBorder="1" applyAlignment="1">
      <alignment horizontal="center" vertical="center"/>
    </xf>
    <xf numFmtId="0" fontId="18" fillId="4" borderId="4" xfId="14" applyFont="1" applyFill="1" applyBorder="1">
      <alignment vertical="center"/>
    </xf>
    <xf numFmtId="0" fontId="18" fillId="4" borderId="4" xfId="10" applyFont="1" applyFill="1" applyBorder="1" applyAlignment="1">
      <alignment horizontal="center" vertical="center"/>
    </xf>
    <xf numFmtId="0" fontId="18" fillId="4" borderId="4" xfId="10" applyFont="1" applyFill="1" applyBorder="1" applyAlignment="1">
      <alignment vertical="center" wrapText="1"/>
    </xf>
    <xf numFmtId="0" fontId="23" fillId="4" borderId="4" xfId="10" applyFont="1" applyFill="1" applyBorder="1" applyAlignment="1">
      <alignment vertical="center" wrapText="1"/>
    </xf>
    <xf numFmtId="0" fontId="18" fillId="4" borderId="4" xfId="10" applyFont="1" applyFill="1" applyBorder="1" applyAlignment="1">
      <alignment vertical="center"/>
    </xf>
    <xf numFmtId="0" fontId="23" fillId="4" borderId="0" xfId="10" applyFont="1" applyFill="1" applyAlignment="1">
      <alignment vertical="center"/>
    </xf>
    <xf numFmtId="0" fontId="18" fillId="4" borderId="0" xfId="10" applyFont="1" applyFill="1" applyAlignment="1">
      <alignment vertical="center"/>
    </xf>
    <xf numFmtId="166" fontId="18" fillId="0" borderId="0" xfId="10" applyNumberFormat="1" applyFont="1" applyAlignment="1">
      <alignment vertical="center"/>
    </xf>
    <xf numFmtId="0" fontId="25" fillId="0" borderId="0" xfId="10" applyFont="1" applyAlignment="1">
      <alignment horizontal="left" vertical="center"/>
    </xf>
    <xf numFmtId="0" fontId="18" fillId="0" borderId="0" xfId="0" applyFont="1" applyAlignment="1">
      <alignment vertical="center"/>
    </xf>
    <xf numFmtId="0" fontId="23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23" fillId="0" borderId="4" xfId="0" applyFont="1" applyBorder="1" applyAlignment="1">
      <alignment vertical="center"/>
    </xf>
    <xf numFmtId="0" fontId="27" fillId="0" borderId="0" xfId="10" applyFont="1" applyAlignment="1">
      <alignment vertical="center"/>
    </xf>
    <xf numFmtId="2" fontId="18" fillId="0" borderId="4" xfId="0" applyNumberFormat="1" applyFont="1" applyBorder="1" applyAlignment="1">
      <alignment vertical="center"/>
    </xf>
    <xf numFmtId="2" fontId="23" fillId="0" borderId="4" xfId="0" applyNumberFormat="1" applyFont="1" applyBorder="1" applyAlignment="1">
      <alignment vertical="center"/>
    </xf>
    <xf numFmtId="2" fontId="18" fillId="0" borderId="4" xfId="10" applyNumberFormat="1" applyFont="1" applyBorder="1" applyAlignment="1">
      <alignment horizontal="center" vertical="center"/>
    </xf>
    <xf numFmtId="2" fontId="23" fillId="6" borderId="4" xfId="0" applyNumberFormat="1" applyFont="1" applyFill="1" applyBorder="1" applyAlignment="1">
      <alignment vertical="center"/>
    </xf>
    <xf numFmtId="2" fontId="23" fillId="0" borderId="4" xfId="10" applyNumberFormat="1" applyFont="1" applyBorder="1" applyAlignment="1">
      <alignment horizontal="center" vertical="center" wrapText="1"/>
    </xf>
    <xf numFmtId="2" fontId="18" fillId="0" borderId="4" xfId="10" applyNumberFormat="1" applyFont="1" applyBorder="1" applyAlignment="1">
      <alignment horizontal="center" vertical="center" wrapText="1"/>
    </xf>
    <xf numFmtId="2" fontId="23" fillId="6" borderId="4" xfId="14" applyNumberFormat="1" applyFont="1" applyFill="1" applyBorder="1">
      <alignment vertical="center"/>
    </xf>
    <xf numFmtId="2" fontId="23" fillId="6" borderId="4" xfId="10" applyNumberFormat="1" applyFont="1" applyFill="1" applyBorder="1" applyAlignment="1">
      <alignment vertical="center"/>
    </xf>
    <xf numFmtId="0" fontId="23" fillId="0" borderId="9" xfId="14" applyFont="1" applyBorder="1">
      <alignment vertical="center"/>
    </xf>
    <xf numFmtId="2" fontId="23" fillId="6" borderId="9" xfId="14" applyNumberFormat="1" applyFont="1" applyFill="1" applyBorder="1">
      <alignment vertical="center"/>
    </xf>
    <xf numFmtId="10" fontId="23" fillId="6" borderId="13" xfId="67" applyNumberFormat="1" applyFont="1" applyFill="1" applyBorder="1" applyAlignment="1">
      <alignment horizontal="center" vertical="center"/>
    </xf>
    <xf numFmtId="10" fontId="18" fillId="0" borderId="9" xfId="14" applyNumberFormat="1" applyFont="1" applyBorder="1">
      <alignment vertical="center"/>
    </xf>
    <xf numFmtId="2" fontId="18" fillId="0" borderId="9" xfId="14" applyNumberFormat="1" applyFont="1" applyBorder="1">
      <alignment vertical="center"/>
    </xf>
    <xf numFmtId="10" fontId="18" fillId="0" borderId="4" xfId="10" applyNumberFormat="1" applyFont="1" applyBorder="1" applyAlignment="1">
      <alignment vertical="center"/>
    </xf>
    <xf numFmtId="2" fontId="18" fillId="0" borderId="4" xfId="10" applyNumberFormat="1" applyFont="1" applyBorder="1" applyAlignment="1">
      <alignment vertical="center"/>
    </xf>
    <xf numFmtId="2" fontId="18" fillId="0" borderId="4" xfId="14" applyNumberFormat="1" applyFont="1" applyBorder="1" applyAlignment="1">
      <alignment horizontal="center" vertical="center"/>
    </xf>
    <xf numFmtId="2" fontId="23" fillId="6" borderId="4" xfId="14" applyNumberFormat="1" applyFont="1" applyFill="1" applyBorder="1" applyAlignment="1">
      <alignment horizontal="center" vertical="center"/>
    </xf>
    <xf numFmtId="10" fontId="23" fillId="6" borderId="4" xfId="14" applyNumberFormat="1" applyFont="1" applyFill="1" applyBorder="1">
      <alignment vertical="center"/>
    </xf>
    <xf numFmtId="2" fontId="23" fillId="6" borderId="4" xfId="10" applyNumberFormat="1" applyFont="1" applyFill="1" applyBorder="1"/>
    <xf numFmtId="2" fontId="18" fillId="0" borderId="4" xfId="10" applyNumberFormat="1" applyFont="1" applyBorder="1" applyAlignment="1">
      <alignment horizontal="right" vertical="center"/>
    </xf>
    <xf numFmtId="2" fontId="23" fillId="0" borderId="4" xfId="14" applyNumberFormat="1" applyFont="1" applyBorder="1" applyAlignment="1">
      <alignment horizontal="center" vertical="center"/>
    </xf>
    <xf numFmtId="0" fontId="18" fillId="0" borderId="4" xfId="14" applyFont="1" applyBorder="1" applyAlignment="1">
      <alignment horizontal="right" vertical="center"/>
    </xf>
    <xf numFmtId="2" fontId="18" fillId="0" borderId="4" xfId="14" applyNumberFormat="1" applyFont="1" applyBorder="1" applyAlignment="1">
      <alignment horizontal="right" vertical="center"/>
    </xf>
    <xf numFmtId="0" fontId="18" fillId="0" borderId="4" xfId="10" applyFont="1" applyBorder="1" applyAlignment="1">
      <alignment horizontal="right" vertical="center" wrapText="1"/>
    </xf>
    <xf numFmtId="2" fontId="18" fillId="0" borderId="4" xfId="10" applyNumberFormat="1" applyFont="1" applyBorder="1" applyAlignment="1">
      <alignment horizontal="right" vertical="center" wrapText="1"/>
    </xf>
    <xf numFmtId="0" fontId="18" fillId="0" borderId="9" xfId="14" applyFont="1" applyBorder="1" applyAlignment="1">
      <alignment horizontal="right" vertical="center"/>
    </xf>
    <xf numFmtId="2" fontId="23" fillId="6" borderId="9" xfId="14" applyNumberFormat="1" applyFont="1" applyFill="1" applyBorder="1" applyAlignment="1">
      <alignment horizontal="right" vertical="center"/>
    </xf>
    <xf numFmtId="10" fontId="23" fillId="6" borderId="4" xfId="10" applyNumberFormat="1" applyFont="1" applyFill="1" applyBorder="1" applyAlignment="1">
      <alignment vertical="center"/>
    </xf>
    <xf numFmtId="0" fontId="23" fillId="0" borderId="3" xfId="14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2" fontId="23" fillId="0" borderId="4" xfId="10" applyNumberFormat="1" applyFont="1" applyBorder="1" applyAlignment="1">
      <alignment vertical="top" wrapText="1"/>
    </xf>
    <xf numFmtId="2" fontId="23" fillId="0" borderId="4" xfId="14" applyNumberFormat="1" applyFont="1" applyBorder="1">
      <alignment vertical="center"/>
    </xf>
    <xf numFmtId="10" fontId="18" fillId="0" borderId="0" xfId="14" applyNumberFormat="1" applyFont="1">
      <alignment vertical="center"/>
    </xf>
    <xf numFmtId="2" fontId="18" fillId="0" borderId="9" xfId="14" applyNumberFormat="1" applyFont="1" applyBorder="1" applyAlignment="1">
      <alignment horizontal="right" vertical="center"/>
    </xf>
    <xf numFmtId="2" fontId="18" fillId="6" borderId="4" xfId="10" applyNumberFormat="1" applyFont="1" applyFill="1" applyBorder="1" applyAlignment="1">
      <alignment horizontal="right" vertical="center"/>
    </xf>
    <xf numFmtId="2" fontId="18" fillId="6" borderId="4" xfId="10" applyNumberFormat="1" applyFont="1" applyFill="1" applyBorder="1" applyAlignment="1">
      <alignment horizontal="right" vertical="center" wrapText="1"/>
    </xf>
    <xf numFmtId="2" fontId="23" fillId="6" borderId="4" xfId="10" applyNumberFormat="1" applyFont="1" applyFill="1" applyBorder="1" applyAlignment="1">
      <alignment horizontal="right" vertical="center"/>
    </xf>
    <xf numFmtId="2" fontId="18" fillId="0" borderId="0" xfId="14" applyNumberFormat="1" applyFont="1">
      <alignment vertical="center"/>
    </xf>
    <xf numFmtId="170" fontId="18" fillId="0" borderId="0" xfId="14" applyNumberFormat="1" applyFont="1">
      <alignment vertical="center"/>
    </xf>
    <xf numFmtId="1" fontId="18" fillId="0" borderId="0" xfId="14" applyNumberFormat="1" applyFont="1">
      <alignment vertical="center"/>
    </xf>
    <xf numFmtId="4" fontId="18" fillId="0" borderId="0" xfId="10" applyNumberFormat="1" applyFont="1" applyAlignment="1">
      <alignment vertical="center"/>
    </xf>
    <xf numFmtId="0" fontId="18" fillId="0" borderId="4" xfId="0" applyFont="1" applyBorder="1"/>
    <xf numFmtId="164" fontId="18" fillId="0" borderId="4" xfId="70" applyFont="1" applyBorder="1"/>
    <xf numFmtId="164" fontId="26" fillId="0" borderId="4" xfId="70" applyFont="1" applyBorder="1"/>
    <xf numFmtId="10" fontId="26" fillId="0" borderId="4" xfId="0" applyNumberFormat="1" applyFont="1" applyBorder="1"/>
    <xf numFmtId="168" fontId="18" fillId="0" borderId="0" xfId="10" applyNumberFormat="1" applyFont="1" applyAlignment="1">
      <alignment vertical="center"/>
    </xf>
    <xf numFmtId="164" fontId="18" fillId="0" borderId="4" xfId="70" applyFont="1" applyBorder="1" applyAlignment="1">
      <alignment horizontal="center" vertical="center"/>
    </xf>
    <xf numFmtId="164" fontId="18" fillId="0" borderId="4" xfId="70" applyFont="1" applyBorder="1" applyAlignment="1">
      <alignment vertical="center"/>
    </xf>
    <xf numFmtId="164" fontId="0" fillId="0" borderId="4" xfId="70" applyFont="1" applyBorder="1"/>
    <xf numFmtId="2" fontId="23" fillId="0" borderId="18" xfId="10" applyNumberFormat="1" applyFont="1" applyBorder="1" applyAlignment="1">
      <alignment vertical="center"/>
    </xf>
    <xf numFmtId="0" fontId="23" fillId="0" borderId="18" xfId="10" applyFont="1" applyBorder="1" applyAlignment="1">
      <alignment vertical="center" wrapText="1"/>
    </xf>
    <xf numFmtId="2" fontId="18" fillId="0" borderId="0" xfId="10" applyNumberFormat="1" applyFont="1" applyAlignment="1">
      <alignment horizontal="left" vertical="center"/>
    </xf>
    <xf numFmtId="2" fontId="23" fillId="6" borderId="13" xfId="19" applyNumberFormat="1" applyFont="1" applyFill="1" applyBorder="1" applyAlignment="1">
      <alignment horizontal="right" vertical="center"/>
    </xf>
    <xf numFmtId="10" fontId="23" fillId="6" borderId="13" xfId="67" applyNumberFormat="1" applyFont="1" applyFill="1" applyBorder="1" applyAlignment="1">
      <alignment horizontal="right" vertical="center"/>
    </xf>
    <xf numFmtId="164" fontId="18" fillId="0" borderId="0" xfId="10" applyNumberFormat="1" applyFont="1" applyAlignment="1">
      <alignment vertical="center"/>
    </xf>
    <xf numFmtId="0" fontId="18" fillId="4" borderId="12" xfId="67" applyFont="1" applyFill="1" applyBorder="1" applyAlignment="1">
      <alignment horizontal="right" vertical="center"/>
    </xf>
    <xf numFmtId="0" fontId="23" fillId="4" borderId="13" xfId="67" applyFont="1" applyFill="1" applyBorder="1" applyAlignment="1">
      <alignment horizontal="right" vertical="center"/>
    </xf>
    <xf numFmtId="164" fontId="26" fillId="0" borderId="4" xfId="70" applyFont="1" applyBorder="1" applyAlignment="1">
      <alignment horizontal="right"/>
    </xf>
    <xf numFmtId="0" fontId="10" fillId="0" borderId="4" xfId="14" applyFont="1" applyBorder="1" applyAlignment="1">
      <alignment vertical="center" wrapText="1"/>
    </xf>
    <xf numFmtId="2" fontId="18" fillId="0" borderId="0" xfId="10" applyNumberFormat="1" applyFont="1" applyAlignment="1">
      <alignment vertical="center"/>
    </xf>
    <xf numFmtId="2" fontId="23" fillId="6" borderId="4" xfId="14" applyNumberFormat="1" applyFont="1" applyFill="1" applyBorder="1" applyAlignment="1">
      <alignment horizontal="right" vertical="center"/>
    </xf>
    <xf numFmtId="2" fontId="23" fillId="5" borderId="4" xfId="14" applyNumberFormat="1" applyFont="1" applyFill="1" applyBorder="1" applyAlignment="1">
      <alignment horizontal="right" vertical="center"/>
    </xf>
    <xf numFmtId="2" fontId="23" fillId="0" borderId="4" xfId="14" applyNumberFormat="1" applyFont="1" applyBorder="1" applyAlignment="1">
      <alignment horizontal="right" vertical="center"/>
    </xf>
    <xf numFmtId="169" fontId="23" fillId="6" borderId="4" xfId="14" applyNumberFormat="1" applyFont="1" applyFill="1" applyBorder="1" applyAlignment="1">
      <alignment horizontal="right" vertical="center"/>
    </xf>
    <xf numFmtId="2" fontId="23" fillId="6" borderId="18" xfId="14" applyNumberFormat="1" applyFont="1" applyFill="1" applyBorder="1" applyAlignment="1">
      <alignment horizontal="right" vertical="center"/>
    </xf>
    <xf numFmtId="175" fontId="18" fillId="0" borderId="9" xfId="38" applyNumberFormat="1" applyFont="1" applyBorder="1" applyAlignment="1">
      <alignment vertical="center"/>
    </xf>
    <xf numFmtId="175" fontId="18" fillId="0" borderId="9" xfId="14" applyNumberFormat="1" applyFont="1" applyBorder="1">
      <alignment vertical="center"/>
    </xf>
    <xf numFmtId="175" fontId="23" fillId="6" borderId="9" xfId="14" applyNumberFormat="1" applyFont="1" applyFill="1" applyBorder="1">
      <alignment vertical="center"/>
    </xf>
    <xf numFmtId="0" fontId="18" fillId="4" borderId="19" xfId="67" applyFont="1" applyFill="1" applyBorder="1" applyAlignment="1">
      <alignment horizontal="center" vertical="center"/>
    </xf>
    <xf numFmtId="164" fontId="0" fillId="0" borderId="18" xfId="70" applyFont="1" applyBorder="1"/>
    <xf numFmtId="0" fontId="0" fillId="0" borderId="18" xfId="70" applyNumberFormat="1" applyFont="1" applyBorder="1"/>
    <xf numFmtId="0" fontId="0" fillId="0" borderId="18" xfId="0" applyBorder="1"/>
    <xf numFmtId="0" fontId="18" fillId="0" borderId="18" xfId="10" applyFont="1" applyBorder="1" applyAlignment="1">
      <alignment horizontal="center" vertical="center"/>
    </xf>
    <xf numFmtId="2" fontId="18" fillId="0" borderId="4" xfId="14" applyNumberFormat="1" applyFont="1" applyBorder="1" applyAlignment="1">
      <alignment horizontal="right" vertical="center" wrapText="1"/>
    </xf>
    <xf numFmtId="0" fontId="23" fillId="0" borderId="18" xfId="10" applyFont="1" applyBorder="1" applyAlignment="1">
      <alignment horizontal="center" vertical="center" wrapText="1"/>
    </xf>
    <xf numFmtId="16" fontId="23" fillId="0" borderId="18" xfId="10" applyNumberFormat="1" applyFont="1" applyBorder="1" applyAlignment="1">
      <alignment horizontal="center" vertical="center" wrapText="1"/>
    </xf>
    <xf numFmtId="2" fontId="23" fillId="0" borderId="18" xfId="10" applyNumberFormat="1" applyFont="1" applyBorder="1" applyAlignment="1">
      <alignment horizontal="right" vertical="center"/>
    </xf>
    <xf numFmtId="0" fontId="23" fillId="0" borderId="18" xfId="10" applyFont="1" applyBorder="1" applyAlignment="1">
      <alignment vertical="center"/>
    </xf>
    <xf numFmtId="2" fontId="23" fillId="6" borderId="18" xfId="10" applyNumberFormat="1" applyFont="1" applyFill="1" applyBorder="1" applyAlignment="1">
      <alignment vertical="center"/>
    </xf>
    <xf numFmtId="0" fontId="18" fillId="0" borderId="18" xfId="10" applyFont="1" applyBorder="1" applyAlignment="1">
      <alignment horizontal="center" vertical="center" wrapText="1"/>
    </xf>
    <xf numFmtId="2" fontId="32" fillId="0" borderId="18" xfId="10" applyNumberFormat="1" applyFont="1" applyBorder="1" applyAlignment="1">
      <alignment vertical="center"/>
    </xf>
    <xf numFmtId="0" fontId="32" fillId="0" borderId="18" xfId="10" applyFont="1" applyBorder="1" applyAlignment="1">
      <alignment vertical="center"/>
    </xf>
    <xf numFmtId="2" fontId="32" fillId="6" borderId="18" xfId="10" applyNumberFormat="1" applyFont="1" applyFill="1" applyBorder="1" applyAlignment="1">
      <alignment vertical="center"/>
    </xf>
    <xf numFmtId="164" fontId="2" fillId="0" borderId="18" xfId="70" applyFont="1" applyBorder="1"/>
    <xf numFmtId="164" fontId="2" fillId="0" borderId="18" xfId="462" applyNumberFormat="1" applyBorder="1"/>
    <xf numFmtId="164" fontId="2" fillId="0" borderId="18" xfId="465" applyNumberFormat="1" applyBorder="1"/>
    <xf numFmtId="164" fontId="2" fillId="0" borderId="18" xfId="466" applyNumberFormat="1" applyBorder="1"/>
    <xf numFmtId="164" fontId="31" fillId="0" borderId="18" xfId="466" applyNumberFormat="1" applyFont="1" applyBorder="1"/>
    <xf numFmtId="164" fontId="18" fillId="0" borderId="18" xfId="14" applyNumberFormat="1" applyFont="1" applyBorder="1">
      <alignment vertical="center"/>
    </xf>
    <xf numFmtId="0" fontId="23" fillId="0" borderId="6" xfId="14" applyFont="1" applyBorder="1" applyAlignment="1">
      <alignment horizontal="center" vertical="center" wrapText="1"/>
    </xf>
    <xf numFmtId="2" fontId="34" fillId="0" borderId="18" xfId="10" applyNumberFormat="1" applyFont="1" applyBorder="1" applyAlignment="1">
      <alignment vertical="center"/>
    </xf>
    <xf numFmtId="2" fontId="18" fillId="0" borderId="18" xfId="10" applyNumberFormat="1" applyFont="1" applyBorder="1" applyAlignment="1">
      <alignment vertical="center"/>
    </xf>
    <xf numFmtId="0" fontId="36" fillId="0" borderId="0" xfId="14" applyFont="1">
      <alignment vertical="center"/>
    </xf>
    <xf numFmtId="0" fontId="37" fillId="0" borderId="0" xfId="14" applyFont="1" applyAlignment="1">
      <alignment horizontal="center" vertical="center"/>
    </xf>
    <xf numFmtId="0" fontId="37" fillId="0" borderId="0" xfId="10" applyFont="1" applyAlignment="1">
      <alignment horizontal="center" vertical="center"/>
    </xf>
    <xf numFmtId="0" fontId="37" fillId="0" borderId="0" xfId="10" applyFont="1" applyAlignment="1">
      <alignment horizontal="left" vertical="center"/>
    </xf>
    <xf numFmtId="0" fontId="37" fillId="0" borderId="0" xfId="14" applyFont="1">
      <alignment vertical="center"/>
    </xf>
    <xf numFmtId="0" fontId="37" fillId="0" borderId="8" xfId="10" applyFont="1" applyBorder="1" applyAlignment="1">
      <alignment horizontal="center" vertical="center" wrapText="1"/>
    </xf>
    <xf numFmtId="0" fontId="37" fillId="0" borderId="18" xfId="10" applyFont="1" applyBorder="1" applyAlignment="1">
      <alignment horizontal="center" vertical="center" wrapText="1"/>
    </xf>
    <xf numFmtId="16" fontId="37" fillId="0" borderId="18" xfId="10" applyNumberFormat="1" applyFont="1" applyBorder="1" applyAlignment="1">
      <alignment horizontal="center" vertical="center" wrapText="1"/>
    </xf>
    <xf numFmtId="0" fontId="37" fillId="0" borderId="8" xfId="10" applyFont="1" applyBorder="1" applyAlignment="1">
      <alignment horizontal="center" vertical="center"/>
    </xf>
    <xf numFmtId="0" fontId="36" fillId="0" borderId="8" xfId="10" applyFont="1" applyBorder="1" applyAlignment="1">
      <alignment horizontal="center" vertical="center" wrapText="1"/>
    </xf>
    <xf numFmtId="0" fontId="36" fillId="0" borderId="8" xfId="10" applyFont="1" applyBorder="1" applyAlignment="1">
      <alignment vertical="center" wrapText="1"/>
    </xf>
    <xf numFmtId="0" fontId="36" fillId="0" borderId="18" xfId="10" applyFont="1" applyBorder="1" applyAlignment="1">
      <alignment vertical="center" wrapText="1"/>
    </xf>
    <xf numFmtId="0" fontId="36" fillId="0" borderId="18" xfId="10" applyFont="1" applyBorder="1" applyAlignment="1">
      <alignment horizontal="center" vertical="center" wrapText="1"/>
    </xf>
    <xf numFmtId="0" fontId="37" fillId="0" borderId="9" xfId="10" applyFont="1" applyBorder="1" applyAlignment="1">
      <alignment vertical="center" wrapText="1"/>
    </xf>
    <xf numFmtId="2" fontId="37" fillId="0" borderId="18" xfId="10" applyNumberFormat="1" applyFont="1" applyBorder="1" applyAlignment="1">
      <alignment horizontal="right" vertical="center"/>
    </xf>
    <xf numFmtId="0" fontId="37" fillId="0" borderId="18" xfId="10" applyFont="1" applyBorder="1" applyAlignment="1">
      <alignment vertical="center" wrapText="1"/>
    </xf>
    <xf numFmtId="2" fontId="36" fillId="0" borderId="18" xfId="10" applyNumberFormat="1" applyFont="1" applyBorder="1" applyAlignment="1">
      <alignment horizontal="right" vertical="center"/>
    </xf>
    <xf numFmtId="0" fontId="37" fillId="0" borderId="18" xfId="10" applyFont="1" applyBorder="1" applyAlignment="1">
      <alignment vertical="center"/>
    </xf>
    <xf numFmtId="176" fontId="36" fillId="0" borderId="18" xfId="10" applyNumberFormat="1" applyFont="1" applyBorder="1" applyAlignment="1">
      <alignment horizontal="right" vertical="center"/>
    </xf>
    <xf numFmtId="43" fontId="36" fillId="0" borderId="18" xfId="94" applyNumberFormat="1" applyFont="1" applyBorder="1" applyAlignment="1">
      <alignment horizontal="right" vertical="center"/>
    </xf>
    <xf numFmtId="176" fontId="37" fillId="0" borderId="18" xfId="10" applyNumberFormat="1" applyFont="1" applyBorder="1" applyAlignment="1">
      <alignment horizontal="right" vertical="center"/>
    </xf>
    <xf numFmtId="43" fontId="37" fillId="0" borderId="18" xfId="94" applyNumberFormat="1" applyFont="1" applyBorder="1" applyAlignment="1">
      <alignment horizontal="right" vertical="center"/>
    </xf>
    <xf numFmtId="0" fontId="38" fillId="0" borderId="0" xfId="0" applyFont="1"/>
    <xf numFmtId="2" fontId="18" fillId="6" borderId="9" xfId="14" applyNumberFormat="1" applyFont="1" applyFill="1" applyBorder="1" applyAlignment="1">
      <alignment horizontal="right" vertical="center"/>
    </xf>
    <xf numFmtId="10" fontId="18" fillId="0" borderId="9" xfId="14" applyNumberFormat="1" applyFont="1" applyBorder="1" applyAlignment="1">
      <alignment horizontal="right" vertical="center"/>
    </xf>
    <xf numFmtId="164" fontId="23" fillId="7" borderId="18" xfId="94" applyFont="1" applyFill="1" applyBorder="1"/>
    <xf numFmtId="0" fontId="23" fillId="0" borderId="0" xfId="10" applyFont="1" applyAlignment="1">
      <alignment horizontal="center" vertical="center"/>
    </xf>
    <xf numFmtId="0" fontId="23" fillId="0" borderId="0" xfId="10" applyFont="1" applyAlignment="1">
      <alignment horizontal="left" vertical="center"/>
    </xf>
    <xf numFmtId="0" fontId="23" fillId="0" borderId="8" xfId="10" applyFont="1" applyBorder="1" applyAlignment="1">
      <alignment horizontal="center" vertical="center" wrapText="1"/>
    </xf>
    <xf numFmtId="0" fontId="15" fillId="0" borderId="0" xfId="14" applyFont="1" applyAlignment="1">
      <alignment horizontal="center" vertical="center"/>
    </xf>
    <xf numFmtId="0" fontId="10" fillId="0" borderId="0" xfId="10" applyFont="1" applyAlignment="1">
      <alignment horizontal="center" vertical="center"/>
    </xf>
    <xf numFmtId="0" fontId="15" fillId="0" borderId="0" xfId="10" applyFont="1" applyAlignment="1">
      <alignment horizontal="center" vertical="center" wrapText="1"/>
    </xf>
    <xf numFmtId="0" fontId="10" fillId="0" borderId="0" xfId="10" applyFont="1" applyAlignment="1">
      <alignment horizontal="center" vertical="center" wrapText="1"/>
    </xf>
    <xf numFmtId="0" fontId="23" fillId="0" borderId="0" xfId="10" applyFont="1" applyAlignment="1">
      <alignment horizontal="center" vertical="center"/>
    </xf>
    <xf numFmtId="0" fontId="23" fillId="0" borderId="8" xfId="14" applyFont="1" applyBorder="1" applyAlignment="1">
      <alignment horizontal="center" vertical="center"/>
    </xf>
    <xf numFmtId="0" fontId="23" fillId="0" borderId="10" xfId="14" applyFont="1" applyBorder="1" applyAlignment="1">
      <alignment horizontal="center" vertical="center"/>
    </xf>
    <xf numFmtId="0" fontId="23" fillId="0" borderId="7" xfId="14" applyFont="1" applyBorder="1" applyAlignment="1">
      <alignment horizontal="center" vertical="center"/>
    </xf>
    <xf numFmtId="0" fontId="23" fillId="0" borderId="8" xfId="14" applyFont="1" applyBorder="1" applyAlignment="1">
      <alignment horizontal="center" vertical="center" wrapText="1"/>
    </xf>
    <xf numFmtId="0" fontId="23" fillId="0" borderId="10" xfId="14" applyFont="1" applyBorder="1" applyAlignment="1">
      <alignment horizontal="center" vertical="center" wrapText="1"/>
    </xf>
    <xf numFmtId="0" fontId="18" fillId="0" borderId="7" xfId="10" applyFont="1" applyBorder="1" applyAlignment="1">
      <alignment horizontal="center" vertical="center" wrapText="1"/>
    </xf>
    <xf numFmtId="0" fontId="23" fillId="0" borderId="4" xfId="14" applyFont="1" applyBorder="1" applyAlignment="1">
      <alignment horizontal="center" vertical="center"/>
    </xf>
    <xf numFmtId="0" fontId="18" fillId="0" borderId="4" xfId="10" applyFont="1" applyBorder="1" applyAlignment="1">
      <alignment horizontal="center" vertical="center"/>
    </xf>
    <xf numFmtId="0" fontId="23" fillId="0" borderId="4" xfId="14" applyFont="1" applyBorder="1" applyAlignment="1">
      <alignment horizontal="center" vertical="center" wrapText="1"/>
    </xf>
    <xf numFmtId="0" fontId="18" fillId="0" borderId="4" xfId="10" applyFont="1" applyBorder="1" applyAlignment="1">
      <alignment horizontal="center" vertical="center" wrapText="1"/>
    </xf>
    <xf numFmtId="0" fontId="23" fillId="0" borderId="6" xfId="14" applyFont="1" applyBorder="1" applyAlignment="1">
      <alignment horizontal="center" vertical="center" wrapText="1"/>
    </xf>
    <xf numFmtId="0" fontId="23" fillId="0" borderId="3" xfId="14" applyFont="1" applyBorder="1" applyAlignment="1">
      <alignment horizontal="center" vertical="center" wrapText="1"/>
    </xf>
    <xf numFmtId="0" fontId="23" fillId="0" borderId="9" xfId="14" applyFont="1" applyBorder="1" applyAlignment="1">
      <alignment horizontal="center" vertical="center" wrapText="1"/>
    </xf>
    <xf numFmtId="0" fontId="23" fillId="0" borderId="0" xfId="10" applyFont="1" applyAlignment="1">
      <alignment horizontal="left" vertical="center"/>
    </xf>
    <xf numFmtId="0" fontId="23" fillId="0" borderId="4" xfId="10" applyFont="1" applyBorder="1" applyAlignment="1">
      <alignment horizontal="center" vertical="center" wrapText="1"/>
    </xf>
    <xf numFmtId="0" fontId="23" fillId="0" borderId="8" xfId="10" applyFont="1" applyBorder="1" applyAlignment="1">
      <alignment horizontal="center" vertical="center" wrapText="1"/>
    </xf>
    <xf numFmtId="0" fontId="23" fillId="0" borderId="10" xfId="10" applyFont="1" applyBorder="1" applyAlignment="1">
      <alignment horizontal="center" vertical="center" wrapText="1"/>
    </xf>
    <xf numFmtId="0" fontId="23" fillId="0" borderId="7" xfId="10" applyFont="1" applyBorder="1" applyAlignment="1">
      <alignment horizontal="center" vertical="center" wrapText="1"/>
    </xf>
    <xf numFmtId="0" fontId="18" fillId="0" borderId="4" xfId="10" applyFont="1" applyBorder="1" applyAlignment="1">
      <alignment vertical="center"/>
    </xf>
    <xf numFmtId="0" fontId="23" fillId="0" borderId="4" xfId="10" applyFont="1" applyBorder="1" applyAlignment="1">
      <alignment horizontal="center" vertical="center"/>
    </xf>
    <xf numFmtId="0" fontId="23" fillId="4" borderId="15" xfId="67" applyFont="1" applyFill="1" applyBorder="1" applyAlignment="1">
      <alignment horizontal="center" vertical="center"/>
    </xf>
    <xf numFmtId="0" fontId="23" fillId="4" borderId="16" xfId="67" applyFont="1" applyFill="1" applyBorder="1" applyAlignment="1">
      <alignment horizontal="center" vertical="center"/>
    </xf>
    <xf numFmtId="0" fontId="23" fillId="4" borderId="17" xfId="67" applyFont="1" applyFill="1" applyBorder="1" applyAlignment="1">
      <alignment horizontal="center" vertical="center"/>
    </xf>
    <xf numFmtId="0" fontId="23" fillId="4" borderId="5" xfId="67" applyFont="1" applyFill="1" applyBorder="1" applyAlignment="1">
      <alignment horizontal="center" vertical="center" wrapText="1"/>
    </xf>
    <xf numFmtId="0" fontId="23" fillId="4" borderId="12" xfId="67" applyFont="1" applyFill="1" applyBorder="1" applyAlignment="1">
      <alignment horizontal="center" vertical="center" wrapText="1"/>
    </xf>
    <xf numFmtId="0" fontId="23" fillId="4" borderId="4" xfId="67" quotePrefix="1" applyFont="1" applyFill="1" applyBorder="1" applyAlignment="1">
      <alignment horizontal="center" vertical="center" wrapText="1"/>
    </xf>
    <xf numFmtId="0" fontId="23" fillId="4" borderId="13" xfId="67" quotePrefix="1" applyFont="1" applyFill="1" applyBorder="1" applyAlignment="1">
      <alignment horizontal="center" vertical="center" wrapText="1"/>
    </xf>
    <xf numFmtId="0" fontId="23" fillId="4" borderId="4" xfId="67" applyFont="1" applyFill="1" applyBorder="1" applyAlignment="1">
      <alignment horizontal="center" vertical="center" wrapText="1"/>
    </xf>
    <xf numFmtId="0" fontId="23" fillId="4" borderId="13" xfId="67" applyFont="1" applyFill="1" applyBorder="1" applyAlignment="1">
      <alignment horizontal="center" vertical="center" wrapText="1"/>
    </xf>
    <xf numFmtId="0" fontId="23" fillId="4" borderId="11" xfId="67" applyFont="1" applyFill="1" applyBorder="1" applyAlignment="1">
      <alignment horizontal="center" vertical="center" wrapText="1"/>
    </xf>
    <xf numFmtId="0" fontId="23" fillId="0" borderId="3" xfId="10" applyFont="1" applyBorder="1" applyAlignment="1">
      <alignment horizontal="center" vertical="center"/>
    </xf>
    <xf numFmtId="0" fontId="23" fillId="0" borderId="9" xfId="10" applyFont="1" applyBorder="1" applyAlignment="1">
      <alignment horizontal="center" vertical="center"/>
    </xf>
    <xf numFmtId="0" fontId="11" fillId="0" borderId="4" xfId="10" applyBorder="1" applyAlignment="1">
      <alignment horizontal="center" vertical="center" wrapText="1"/>
    </xf>
    <xf numFmtId="0" fontId="11" fillId="0" borderId="4" xfId="10" applyBorder="1" applyAlignment="1">
      <alignment horizontal="center" vertical="center"/>
    </xf>
    <xf numFmtId="0" fontId="23" fillId="0" borderId="6" xfId="1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23" fillId="0" borderId="0" xfId="14" applyFont="1" applyAlignment="1">
      <alignment horizontal="center" vertical="center"/>
    </xf>
    <xf numFmtId="0" fontId="23" fillId="0" borderId="18" xfId="14" applyFont="1" applyBorder="1" applyAlignment="1">
      <alignment horizontal="center" vertical="center" wrapText="1"/>
    </xf>
    <xf numFmtId="0" fontId="23" fillId="0" borderId="18" xfId="10" applyFont="1" applyBorder="1" applyAlignment="1">
      <alignment horizontal="center" vertical="center"/>
    </xf>
    <xf numFmtId="0" fontId="39" fillId="0" borderId="18" xfId="10" applyFont="1" applyBorder="1" applyAlignment="1">
      <alignment horizontal="center" vertical="center" wrapText="1"/>
    </xf>
    <xf numFmtId="0" fontId="18" fillId="0" borderId="18" xfId="10" applyFont="1" applyBorder="1" applyAlignment="1">
      <alignment vertical="center"/>
    </xf>
    <xf numFmtId="0" fontId="23" fillId="0" borderId="8" xfId="10" applyFont="1" applyBorder="1" applyAlignment="1">
      <alignment horizontal="left" vertical="center" wrapText="1"/>
    </xf>
    <xf numFmtId="2" fontId="23" fillId="0" borderId="8" xfId="10" applyNumberFormat="1" applyFont="1" applyBorder="1" applyAlignment="1">
      <alignment horizontal="center" vertical="center" wrapText="1"/>
    </xf>
    <xf numFmtId="2" fontId="23" fillId="0" borderId="18" xfId="10" applyNumberFormat="1" applyFont="1" applyBorder="1" applyAlignment="1">
      <alignment horizontal="center" vertical="center"/>
    </xf>
    <xf numFmtId="0" fontId="38" fillId="0" borderId="18" xfId="0" applyFont="1" applyBorder="1" applyAlignment="1">
      <alignment horizontal="center" vertical="center" wrapText="1"/>
    </xf>
    <xf numFmtId="0" fontId="18" fillId="0" borderId="8" xfId="10" applyFont="1" applyBorder="1" applyAlignment="1">
      <alignment vertical="center"/>
    </xf>
    <xf numFmtId="0" fontId="38" fillId="0" borderId="18" xfId="0" applyFont="1" applyBorder="1" applyAlignment="1">
      <alignment vertical="center" wrapText="1"/>
    </xf>
    <xf numFmtId="0" fontId="23" fillId="0" borderId="8" xfId="10" applyFont="1" applyBorder="1" applyAlignment="1">
      <alignment vertical="top" wrapText="1"/>
    </xf>
    <xf numFmtId="0" fontId="38" fillId="0" borderId="18" xfId="0" applyFont="1" applyBorder="1" applyAlignment="1">
      <alignment vertical="top" wrapText="1"/>
    </xf>
    <xf numFmtId="0" fontId="18" fillId="0" borderId="18" xfId="0" applyFont="1" applyBorder="1" applyAlignment="1">
      <alignment vertical="top" wrapText="1"/>
    </xf>
    <xf numFmtId="0" fontId="38" fillId="0" borderId="8" xfId="0" applyFont="1" applyBorder="1" applyAlignment="1">
      <alignment vertical="center" wrapText="1"/>
    </xf>
  </cellXfs>
  <cellStyles count="490">
    <cellStyle name="Body" xfId="1"/>
    <cellStyle name="Comma" xfId="70" builtinId="3"/>
    <cellStyle name="Comma  - Style1" xfId="2"/>
    <cellStyle name="Comma 10" xfId="94"/>
    <cellStyle name="Comma 10 2" xfId="95"/>
    <cellStyle name="Comma 10 2 2" xfId="488"/>
    <cellStyle name="Comma 10 3" xfId="251"/>
    <cellStyle name="Comma 10 4" xfId="264"/>
    <cellStyle name="Comma 10 5" xfId="483"/>
    <cellStyle name="Comma 11" xfId="96"/>
    <cellStyle name="Comma 11 2" xfId="19"/>
    <cellStyle name="Comma 11 2 10" xfId="435"/>
    <cellStyle name="Comma 11 2 11" xfId="489"/>
    <cellStyle name="Comma 11 2 2" xfId="97"/>
    <cellStyle name="Comma 11 2 2 2" xfId="98"/>
    <cellStyle name="Comma 11 2 2 3" xfId="92"/>
    <cellStyle name="Comma 11 2 2 4" xfId="347"/>
    <cellStyle name="Comma 11 2 2 5" xfId="366"/>
    <cellStyle name="Comma 11 2 2 6" xfId="384"/>
    <cellStyle name="Comma 11 2 2 7" xfId="400"/>
    <cellStyle name="Comma 11 2 2 8" xfId="416"/>
    <cellStyle name="Comma 11 2 3" xfId="208"/>
    <cellStyle name="Comma 11 2 4" xfId="348"/>
    <cellStyle name="Comma 11 2 5" xfId="357"/>
    <cellStyle name="Comma 11 2 6" xfId="375"/>
    <cellStyle name="Comma 11 2 7" xfId="393"/>
    <cellStyle name="Comma 11 2 8" xfId="409"/>
    <cellStyle name="Comma 11 2 9" xfId="71"/>
    <cellStyle name="Comma 11 2_F2.1" xfId="459"/>
    <cellStyle name="Comma 12" xfId="99"/>
    <cellStyle name="Comma 13" xfId="100"/>
    <cellStyle name="Comma 14" xfId="101"/>
    <cellStyle name="Comma 15" xfId="102"/>
    <cellStyle name="Comma 15 2" xfId="103"/>
    <cellStyle name="Comma 15 2 2" xfId="104"/>
    <cellStyle name="Comma 15 2 2 2" xfId="105"/>
    <cellStyle name="Comma 15 2 2 3" xfId="248"/>
    <cellStyle name="Comma 15 2 2 4" xfId="261"/>
    <cellStyle name="Comma 15 2 3" xfId="106"/>
    <cellStyle name="Comma 15 2 4" xfId="107"/>
    <cellStyle name="Comma 15 2 5" xfId="108"/>
    <cellStyle name="Comma 15 2 6" xfId="109"/>
    <cellStyle name="Comma 15 2 7" xfId="110"/>
    <cellStyle name="Comma 15 2 8" xfId="111"/>
    <cellStyle name="Comma 15 3" xfId="112"/>
    <cellStyle name="Comma 15 4" xfId="113"/>
    <cellStyle name="Comma 15 5" xfId="114"/>
    <cellStyle name="Comma 15 6" xfId="115"/>
    <cellStyle name="Comma 15 7" xfId="116"/>
    <cellStyle name="Comma 15 8" xfId="117"/>
    <cellStyle name="Comma 16" xfId="118"/>
    <cellStyle name="Comma 16 2" xfId="119"/>
    <cellStyle name="Comma 16 3" xfId="120"/>
    <cellStyle name="Comma 16 4" xfId="121"/>
    <cellStyle name="Comma 16 5" xfId="122"/>
    <cellStyle name="Comma 16 6" xfId="123"/>
    <cellStyle name="Comma 16 7" xfId="124"/>
    <cellStyle name="Comma 16 8" xfId="125"/>
    <cellStyle name="Comma 17" xfId="126"/>
    <cellStyle name="Comma 18" xfId="127"/>
    <cellStyle name="Comma 18 2" xfId="128"/>
    <cellStyle name="Comma 18 2 2" xfId="129"/>
    <cellStyle name="Comma 19" xfId="130"/>
    <cellStyle name="Comma 2" xfId="24"/>
    <cellStyle name="Comma 2 10" xfId="247"/>
    <cellStyle name="Comma 2 11" xfId="260"/>
    <cellStyle name="Comma 2 12" xfId="285"/>
    <cellStyle name="Comma 2 13" xfId="327"/>
    <cellStyle name="Comma 2 14" xfId="280"/>
    <cellStyle name="Comma 2 15" xfId="367"/>
    <cellStyle name="Comma 2 16" xfId="385"/>
    <cellStyle name="Comma 2 17" xfId="401"/>
    <cellStyle name="Comma 2 18" xfId="72"/>
    <cellStyle name="Comma 2 19" xfId="481"/>
    <cellStyle name="Comma 2 2" xfId="25"/>
    <cellStyle name="Comma 2 2 10" xfId="325"/>
    <cellStyle name="Comma 2 2 11" xfId="282"/>
    <cellStyle name="Comma 2 2 12" xfId="331"/>
    <cellStyle name="Comma 2 2 13" xfId="276"/>
    <cellStyle name="Comma 2 2 14" xfId="336"/>
    <cellStyle name="Comma 2 2 15" xfId="73"/>
    <cellStyle name="Comma 2 2 16" xfId="487"/>
    <cellStyle name="Comma 2 2 2" xfId="62"/>
    <cellStyle name="Comma 2 2 2 2" xfId="133"/>
    <cellStyle name="Comma 2 2 2 3" xfId="287"/>
    <cellStyle name="Comma 2 2 2 4" xfId="324"/>
    <cellStyle name="Comma 2 2 2 5" xfId="283"/>
    <cellStyle name="Comma 2 2 2 6" xfId="330"/>
    <cellStyle name="Comma 2 2 2 7" xfId="277"/>
    <cellStyle name="Comma 2 2 2 8" xfId="334"/>
    <cellStyle name="Comma 2 2 3" xfId="132"/>
    <cellStyle name="Comma 2 2 4" xfId="135"/>
    <cellStyle name="Comma 2 2 5" xfId="136"/>
    <cellStyle name="Comma 2 2 6" xfId="137"/>
    <cellStyle name="Comma 2 2 7" xfId="138"/>
    <cellStyle name="Comma 2 2 8" xfId="139"/>
    <cellStyle name="Comma 2 2 9" xfId="286"/>
    <cellStyle name="Comma 2 2_F2.1" xfId="467"/>
    <cellStyle name="Comma 2 3" xfId="26"/>
    <cellStyle name="Comma 2 3 2" xfId="140"/>
    <cellStyle name="Comma 2 3 3" xfId="295"/>
    <cellStyle name="Comma 2 3 4" xfId="312"/>
    <cellStyle name="Comma 2 3 5" xfId="298"/>
    <cellStyle name="Comma 2 3 6" xfId="311"/>
    <cellStyle name="Comma 2 3 7" xfId="299"/>
    <cellStyle name="Comma 2 3 8" xfId="310"/>
    <cellStyle name="Comma 2 3 9" xfId="74"/>
    <cellStyle name="Comma 2 4" xfId="55"/>
    <cellStyle name="Comma 2 4 2" xfId="141"/>
    <cellStyle name="Comma 2 4 3" xfId="296"/>
    <cellStyle name="Comma 2 4 4" xfId="365"/>
    <cellStyle name="Comma 2 4 5" xfId="383"/>
    <cellStyle name="Comma 2 4 6" xfId="399"/>
    <cellStyle name="Comma 2 4 7" xfId="415"/>
    <cellStyle name="Comma 2 4 8" xfId="428"/>
    <cellStyle name="Comma 2 5" xfId="131"/>
    <cellStyle name="Comma 2 6" xfId="143"/>
    <cellStyle name="Comma 2 7" xfId="144"/>
    <cellStyle name="Comma 2 8" xfId="145"/>
    <cellStyle name="Comma 2 9" xfId="146"/>
    <cellStyle name="Comma 2_F2.1" xfId="460"/>
    <cellStyle name="Comma 20" xfId="147"/>
    <cellStyle name="Comma 21" xfId="148"/>
    <cellStyle name="Comma 22" xfId="149"/>
    <cellStyle name="Comma 23" xfId="150"/>
    <cellStyle name="Comma 24" xfId="151"/>
    <cellStyle name="Comma 25" xfId="152"/>
    <cellStyle name="Comma 26" xfId="153"/>
    <cellStyle name="Comma 27" xfId="154"/>
    <cellStyle name="Comma 28" xfId="155"/>
    <cellStyle name="Comma 29" xfId="156"/>
    <cellStyle name="Comma 3" xfId="27"/>
    <cellStyle name="Comma 3 10" xfId="75"/>
    <cellStyle name="Comma 3 11" xfId="480"/>
    <cellStyle name="Comma 3 2" xfId="61"/>
    <cellStyle name="Comma 3 2 2" xfId="76"/>
    <cellStyle name="Comma 3 2 3" xfId="436"/>
    <cellStyle name="Comma 3 2 4" xfId="486"/>
    <cellStyle name="Comma 3 2_F2.1" xfId="468"/>
    <cellStyle name="Comma 3 3" xfId="157"/>
    <cellStyle name="Comma 3 4" xfId="301"/>
    <cellStyle name="Comma 3 5" xfId="361"/>
    <cellStyle name="Comma 3 6" xfId="379"/>
    <cellStyle name="Comma 3 7" xfId="396"/>
    <cellStyle name="Comma 3 8" xfId="412"/>
    <cellStyle name="Comma 3 9" xfId="426"/>
    <cellStyle name="Comma 3_F2.1" xfId="461"/>
    <cellStyle name="Comma 30" xfId="158"/>
    <cellStyle name="Comma 31" xfId="159"/>
    <cellStyle name="Comma 32" xfId="160"/>
    <cellStyle name="Comma 33" xfId="161"/>
    <cellStyle name="Comma 34" xfId="162"/>
    <cellStyle name="Comma 35" xfId="163"/>
    <cellStyle name="Comma 36" xfId="164"/>
    <cellStyle name="Comma 37" xfId="165"/>
    <cellStyle name="Comma 38" xfId="249"/>
    <cellStyle name="Comma 39" xfId="254"/>
    <cellStyle name="Comma 4" xfId="28"/>
    <cellStyle name="Comma 4 10" xfId="77"/>
    <cellStyle name="Comma 4 11" xfId="485"/>
    <cellStyle name="Comma 4 2" xfId="63"/>
    <cellStyle name="Comma 4 2 10" xfId="437"/>
    <cellStyle name="Comma 4 2 2" xfId="167"/>
    <cellStyle name="Comma 4 2 3" xfId="305"/>
    <cellStyle name="Comma 4 2 4" xfId="359"/>
    <cellStyle name="Comma 4 2 5" xfId="377"/>
    <cellStyle name="Comma 4 2 6" xfId="395"/>
    <cellStyle name="Comma 4 2 7" xfId="411"/>
    <cellStyle name="Comma 4 2 8" xfId="425"/>
    <cellStyle name="Comma 4 2 9" xfId="78"/>
    <cellStyle name="Comma 4 3" xfId="168"/>
    <cellStyle name="Comma 4 4" xfId="169"/>
    <cellStyle name="Comma 4 5" xfId="170"/>
    <cellStyle name="Comma 4 6" xfId="171"/>
    <cellStyle name="Comma 4 7" xfId="172"/>
    <cellStyle name="Comma 4 8" xfId="173"/>
    <cellStyle name="Comma 4 9" xfId="174"/>
    <cellStyle name="Comma 4_F2.1" xfId="469"/>
    <cellStyle name="Comma 40" xfId="256"/>
    <cellStyle name="Comma 41" xfId="258"/>
    <cellStyle name="Comma 42" xfId="262"/>
    <cellStyle name="Comma 43" xfId="266"/>
    <cellStyle name="Comma 44" xfId="451"/>
    <cellStyle name="Comma 45" xfId="453"/>
    <cellStyle name="Comma 46" xfId="455"/>
    <cellStyle name="Comma 47" xfId="457"/>
    <cellStyle name="Comma 48" xfId="458"/>
    <cellStyle name="Comma 49" xfId="421"/>
    <cellStyle name="Comma 5" xfId="29"/>
    <cellStyle name="Comma 5 10" xfId="176"/>
    <cellStyle name="Comma 5 11" xfId="308"/>
    <cellStyle name="Comma 5 12" xfId="302"/>
    <cellStyle name="Comma 5 13" xfId="307"/>
    <cellStyle name="Comma 5 14" xfId="303"/>
    <cellStyle name="Comma 5 15" xfId="306"/>
    <cellStyle name="Comma 5 16" xfId="304"/>
    <cellStyle name="Comma 5 17" xfId="79"/>
    <cellStyle name="Comma 5 18" xfId="438"/>
    <cellStyle name="Comma 5 2" xfId="175"/>
    <cellStyle name="Comma 5 2 2" xfId="177"/>
    <cellStyle name="Comma 5 2 3" xfId="309"/>
    <cellStyle name="Comma 5 2 4" xfId="300"/>
    <cellStyle name="Comma 5 2 5" xfId="364"/>
    <cellStyle name="Comma 5 2 6" xfId="382"/>
    <cellStyle name="Comma 5 2 7" xfId="398"/>
    <cellStyle name="Comma 5 2 8" xfId="414"/>
    <cellStyle name="Comma 5 3" xfId="178"/>
    <cellStyle name="Comma 5 3 2" xfId="179"/>
    <cellStyle name="Comma 5 3 3" xfId="180"/>
    <cellStyle name="Comma 5 3 4" xfId="181"/>
    <cellStyle name="Comma 5 3 5" xfId="182"/>
    <cellStyle name="Comma 5 3 6" xfId="183"/>
    <cellStyle name="Comma 5 3 7" xfId="184"/>
    <cellStyle name="Comma 5 3 8" xfId="185"/>
    <cellStyle name="Comma 5 4" xfId="186"/>
    <cellStyle name="Comma 5 4 2" xfId="187"/>
    <cellStyle name="Comma 5 4 2 2" xfId="188"/>
    <cellStyle name="Comma 5 4 2 3" xfId="250"/>
    <cellStyle name="Comma 5 4 2 4" xfId="263"/>
    <cellStyle name="Comma 5 5" xfId="189"/>
    <cellStyle name="Comma 5 6" xfId="190"/>
    <cellStyle name="Comma 5 7" xfId="191"/>
    <cellStyle name="Comma 5 8" xfId="192"/>
    <cellStyle name="Comma 5 9" xfId="193"/>
    <cellStyle name="Comma 50" xfId="475"/>
    <cellStyle name="Comma 6" xfId="47"/>
    <cellStyle name="Comma 6 2" xfId="48"/>
    <cellStyle name="Comma 6 3" xfId="49"/>
    <cellStyle name="Comma 6 4" xfId="50"/>
    <cellStyle name="Comma 6 5" xfId="80"/>
    <cellStyle name="Comma 7" xfId="21"/>
    <cellStyle name="Comma 7 2" xfId="195"/>
    <cellStyle name="Comma 7 3" xfId="317"/>
    <cellStyle name="Comma 7 4" xfId="291"/>
    <cellStyle name="Comma 7 5" xfId="315"/>
    <cellStyle name="Comma 7 6" xfId="293"/>
    <cellStyle name="Comma 7 7" xfId="313"/>
    <cellStyle name="Comma 7 8" xfId="297"/>
    <cellStyle name="Comma 8" xfId="64"/>
    <cellStyle name="Comma 8 10" xfId="439"/>
    <cellStyle name="Comma 8 2" xfId="196"/>
    <cellStyle name="Comma 8 3" xfId="318"/>
    <cellStyle name="Comma 8 4" xfId="290"/>
    <cellStyle name="Comma 8 5" xfId="316"/>
    <cellStyle name="Comma 8 6" xfId="292"/>
    <cellStyle name="Comma 8 7" xfId="314"/>
    <cellStyle name="Comma 8 8" xfId="294"/>
    <cellStyle name="Comma 8 9" xfId="81"/>
    <cellStyle name="Comma 9" xfId="93"/>
    <cellStyle name="Comma 9 2" xfId="197"/>
    <cellStyle name="Comma 9 3" xfId="319"/>
    <cellStyle name="Comma 9 4" xfId="289"/>
    <cellStyle name="Comma 9 5" xfId="320"/>
    <cellStyle name="Comma 9 6" xfId="288"/>
    <cellStyle name="Comma 9 7" xfId="242"/>
    <cellStyle name="Comma 9 8" xfId="353"/>
    <cellStyle name="Curren - Style2" xfId="3"/>
    <cellStyle name="Grey" xfId="4"/>
    <cellStyle name="Header1" xfId="5"/>
    <cellStyle name="Header2" xfId="6"/>
    <cellStyle name="Hyperlink 2" xfId="198"/>
    <cellStyle name="Input [yellow]" xfId="7"/>
    <cellStyle name="no dec" xfId="8"/>
    <cellStyle name="Normal" xfId="0" builtinId="0"/>
    <cellStyle name="Normal - Style1" xfId="9"/>
    <cellStyle name="Normal 10" xfId="66"/>
    <cellStyle name="Normal 10 10" xfId="440"/>
    <cellStyle name="Normal 10 2" xfId="199"/>
    <cellStyle name="Normal 10 3" xfId="321"/>
    <cellStyle name="Normal 10 4" xfId="363"/>
    <cellStyle name="Normal 10 5" xfId="381"/>
    <cellStyle name="Normal 10 6" xfId="397"/>
    <cellStyle name="Normal 10 7" xfId="413"/>
    <cellStyle name="Normal 10 8" xfId="427"/>
    <cellStyle name="Normal 10 9" xfId="82"/>
    <cellStyle name="Normal 11" xfId="68"/>
    <cellStyle name="Normal 11 10" xfId="441"/>
    <cellStyle name="Normal 11 2" xfId="200"/>
    <cellStyle name="Normal 11 3" xfId="322"/>
    <cellStyle name="Normal 11 4" xfId="356"/>
    <cellStyle name="Normal 11 5" xfId="374"/>
    <cellStyle name="Normal 11 6" xfId="392"/>
    <cellStyle name="Normal 11 7" xfId="408"/>
    <cellStyle name="Normal 11 8" xfId="424"/>
    <cellStyle name="Normal 11 9" xfId="83"/>
    <cellStyle name="Normal 12" xfId="69"/>
    <cellStyle name="Normal 12 10" xfId="442"/>
    <cellStyle name="Normal 12 2" xfId="201"/>
    <cellStyle name="Normal 12 3" xfId="323"/>
    <cellStyle name="Normal 12 4" xfId="284"/>
    <cellStyle name="Normal 12 5" xfId="328"/>
    <cellStyle name="Normal 12 6" xfId="279"/>
    <cellStyle name="Normal 12 7" xfId="332"/>
    <cellStyle name="Normal 12 8" xfId="275"/>
    <cellStyle name="Normal 12 9" xfId="84"/>
    <cellStyle name="Normal 13" xfId="202"/>
    <cellStyle name="Normal 14" xfId="203"/>
    <cellStyle name="Normal 14 2" xfId="67"/>
    <cellStyle name="Normal 14 2 2" xfId="85"/>
    <cellStyle name="Normal 14 2 3" xfId="443"/>
    <cellStyle name="Normal 14 2 4" xfId="484"/>
    <cellStyle name="Normal 14 2_F2.1" xfId="463"/>
    <cellStyle name="Normal 15" xfId="18"/>
    <cellStyle name="Normal 15 10" xfId="444"/>
    <cellStyle name="Normal 15 2" xfId="204"/>
    <cellStyle name="Normal 15 3" xfId="326"/>
    <cellStyle name="Normal 15 4" xfId="281"/>
    <cellStyle name="Normal 15 5" xfId="358"/>
    <cellStyle name="Normal 15 6" xfId="376"/>
    <cellStyle name="Normal 15 7" xfId="394"/>
    <cellStyle name="Normal 15 8" xfId="410"/>
    <cellStyle name="Normal 15 9" xfId="86"/>
    <cellStyle name="Normal 16" xfId="205"/>
    <cellStyle name="Normal 16 2" xfId="476"/>
    <cellStyle name="Normal 16_F2.1" xfId="470"/>
    <cellStyle name="Normal 17" xfId="206"/>
    <cellStyle name="Normal 18" xfId="60"/>
    <cellStyle name="Normal 18 10" xfId="445"/>
    <cellStyle name="Normal 18 2" xfId="207"/>
    <cellStyle name="Normal 18 2 2" xfId="209"/>
    <cellStyle name="Normal 18 2 3" xfId="252"/>
    <cellStyle name="Normal 18 2 4" xfId="265"/>
    <cellStyle name="Normal 18 3" xfId="329"/>
    <cellStyle name="Normal 18 4" xfId="278"/>
    <cellStyle name="Normal 18 5" xfId="333"/>
    <cellStyle name="Normal 18 6" xfId="274"/>
    <cellStyle name="Normal 18 7" xfId="337"/>
    <cellStyle name="Normal 18 8" xfId="272"/>
    <cellStyle name="Normal 18 9" xfId="87"/>
    <cellStyle name="Normal 19" xfId="210"/>
    <cellStyle name="Normal 2" xfId="10"/>
    <cellStyle name="Normal 2 2" xfId="11"/>
    <cellStyle name="Normal 2 2 2" xfId="30"/>
    <cellStyle name="Normal 2 2 2 2" xfId="56"/>
    <cellStyle name="Normal 2 2 3" xfId="482"/>
    <cellStyle name="Normal 2 2_F2.1" xfId="464"/>
    <cellStyle name="Normal 2 3" xfId="12"/>
    <cellStyle name="Normal 2 3 2" xfId="213"/>
    <cellStyle name="Normal 2 3 3" xfId="335"/>
    <cellStyle name="Normal 2 3 4" xfId="273"/>
    <cellStyle name="Normal 2 3 5" xfId="338"/>
    <cellStyle name="Normal 2 3 6" xfId="271"/>
    <cellStyle name="Normal 2 3 7" xfId="339"/>
    <cellStyle name="Normal 2 3 8" xfId="270"/>
    <cellStyle name="Normal 2 4" xfId="51"/>
    <cellStyle name="Normal 2_ARR FINAL" xfId="31"/>
    <cellStyle name="Normal 20" xfId="214"/>
    <cellStyle name="Normal 21" xfId="215"/>
    <cellStyle name="Normal 22" xfId="216"/>
    <cellStyle name="Normal 23" xfId="217"/>
    <cellStyle name="Normal 24" xfId="218"/>
    <cellStyle name="Normal 24 2" xfId="477"/>
    <cellStyle name="Normal 24_F2.1" xfId="471"/>
    <cellStyle name="Normal 25" xfId="219"/>
    <cellStyle name="Normal 25 2" xfId="479"/>
    <cellStyle name="Normal 25_F2.1" xfId="472"/>
    <cellStyle name="Normal 26" xfId="220"/>
    <cellStyle name="Normal 26 2" xfId="478"/>
    <cellStyle name="Normal 26_F2.1" xfId="473"/>
    <cellStyle name="Normal 27" xfId="221"/>
    <cellStyle name="Normal 28" xfId="222"/>
    <cellStyle name="Normal 29" xfId="223"/>
    <cellStyle name="Normal 3" xfId="13"/>
    <cellStyle name="Normal 3 10" xfId="269"/>
    <cellStyle name="Normal 3 11" xfId="342"/>
    <cellStyle name="Normal 3 12" xfId="134"/>
    <cellStyle name="Normal 3 13" xfId="360"/>
    <cellStyle name="Normal 3 14" xfId="378"/>
    <cellStyle name="Normal 3 2" xfId="32"/>
    <cellStyle name="Normal 3 2 2" xfId="57"/>
    <cellStyle name="Normal 3 2 3" xfId="225"/>
    <cellStyle name="Normal 3 2 4" xfId="341"/>
    <cellStyle name="Normal 3 2 5" xfId="268"/>
    <cellStyle name="Normal 3 2 6" xfId="343"/>
    <cellStyle name="Normal 3 2 7" xfId="142"/>
    <cellStyle name="Normal 3 2 8" xfId="362"/>
    <cellStyle name="Normal 3 2 9" xfId="380"/>
    <cellStyle name="Normal 3 3" xfId="224"/>
    <cellStyle name="Normal 3 4" xfId="226"/>
    <cellStyle name="Normal 3 5" xfId="227"/>
    <cellStyle name="Normal 3 6" xfId="228"/>
    <cellStyle name="Normal 3 7" xfId="229"/>
    <cellStyle name="Normal 3 8" xfId="230"/>
    <cellStyle name="Normal 3 9" xfId="340"/>
    <cellStyle name="Normal 30" xfId="231"/>
    <cellStyle name="Normal 31" xfId="246"/>
    <cellStyle name="Normal 32" xfId="253"/>
    <cellStyle name="Normal 33" xfId="255"/>
    <cellStyle name="Normal 34" xfId="257"/>
    <cellStyle name="Normal 35" xfId="259"/>
    <cellStyle name="Normal 36" xfId="267"/>
    <cellStyle name="Normal 37" xfId="434"/>
    <cellStyle name="Normal 38" xfId="450"/>
    <cellStyle name="Normal 39" xfId="22"/>
    <cellStyle name="Normal 4" xfId="33"/>
    <cellStyle name="Normal 4 10" xfId="166"/>
    <cellStyle name="Normal 4 11" xfId="368"/>
    <cellStyle name="Normal 4 12" xfId="386"/>
    <cellStyle name="Normal 4 13" xfId="402"/>
    <cellStyle name="Normal 4 14" xfId="417"/>
    <cellStyle name="Normal 4 2" xfId="58"/>
    <cellStyle name="Normal 4 2 2" xfId="233"/>
    <cellStyle name="Normal 4 2 3" xfId="345"/>
    <cellStyle name="Normal 4 2 4" xfId="194"/>
    <cellStyle name="Normal 4 2 5" xfId="346"/>
    <cellStyle name="Normal 4 2 6" xfId="211"/>
    <cellStyle name="Normal 4 2 7" xfId="349"/>
    <cellStyle name="Normal 4 2 8" xfId="212"/>
    <cellStyle name="Normal 4 3" xfId="232"/>
    <cellStyle name="Normal 4 4" xfId="234"/>
    <cellStyle name="Normal 4 5" xfId="235"/>
    <cellStyle name="Normal 4 6" xfId="236"/>
    <cellStyle name="Normal 4 7" xfId="237"/>
    <cellStyle name="Normal 4 8" xfId="238"/>
    <cellStyle name="Normal 4 9" xfId="344"/>
    <cellStyle name="Normal 40" xfId="452"/>
    <cellStyle name="Normal 41" xfId="454"/>
    <cellStyle name="Normal 42" xfId="456"/>
    <cellStyle name="Normal 43" xfId="474"/>
    <cellStyle name="Normal 5" xfId="34"/>
    <cellStyle name="Normal 5 10" xfId="88"/>
    <cellStyle name="Normal 5 11" xfId="446"/>
    <cellStyle name="Normal 5 2" xfId="35"/>
    <cellStyle name="Normal 5 3" xfId="239"/>
    <cellStyle name="Normal 5 4" xfId="350"/>
    <cellStyle name="Normal 5 5" xfId="369"/>
    <cellStyle name="Normal 5 6" xfId="387"/>
    <cellStyle name="Normal 5 7" xfId="403"/>
    <cellStyle name="Normal 5 8" xfId="418"/>
    <cellStyle name="Normal 5 9" xfId="429"/>
    <cellStyle name="Normal 6" xfId="36"/>
    <cellStyle name="Normal 6 2" xfId="240"/>
    <cellStyle name="Normal 6 3" xfId="351"/>
    <cellStyle name="Normal 6 4" xfId="370"/>
    <cellStyle name="Normal 6 5" xfId="388"/>
    <cellStyle name="Normal 6 6" xfId="404"/>
    <cellStyle name="Normal 6 7" xfId="419"/>
    <cellStyle name="Normal 6 8" xfId="430"/>
    <cellStyle name="Normal 7" xfId="37"/>
    <cellStyle name="Normal 7 10" xfId="447"/>
    <cellStyle name="Normal 7 2" xfId="241"/>
    <cellStyle name="Normal 7 2 2" xfId="243"/>
    <cellStyle name="Normal 7 3" xfId="352"/>
    <cellStyle name="Normal 7 4" xfId="371"/>
    <cellStyle name="Normal 7 5" xfId="389"/>
    <cellStyle name="Normal 7 6" xfId="405"/>
    <cellStyle name="Normal 7 7" xfId="420"/>
    <cellStyle name="Normal 7 8" xfId="431"/>
    <cellStyle name="Normal 7 9" xfId="89"/>
    <cellStyle name="Normal 8" xfId="52"/>
    <cellStyle name="Normal 8 2" xfId="244"/>
    <cellStyle name="Normal 8 3" xfId="354"/>
    <cellStyle name="Normal 8 4" xfId="372"/>
    <cellStyle name="Normal 8 5" xfId="390"/>
    <cellStyle name="Normal 8 6" xfId="406"/>
    <cellStyle name="Normal 8 7" xfId="422"/>
    <cellStyle name="Normal 8 8" xfId="432"/>
    <cellStyle name="Normal 9" xfId="53"/>
    <cellStyle name="Normal 9 2" xfId="245"/>
    <cellStyle name="Normal 9 3" xfId="355"/>
    <cellStyle name="Normal 9 4" xfId="373"/>
    <cellStyle name="Normal 9 5" xfId="391"/>
    <cellStyle name="Normal 9 6" xfId="407"/>
    <cellStyle name="Normal 9 7" xfId="423"/>
    <cellStyle name="Normal 9 8" xfId="433"/>
    <cellStyle name="Normal_F2.1" xfId="462"/>
    <cellStyle name="Normal_F2.2" xfId="465"/>
    <cellStyle name="Normal_F2.3" xfId="466"/>
    <cellStyle name="Normal_FORMATS 5 YEAR ALOKE 2" xfId="14"/>
    <cellStyle name="Percent [0]_#6 Temps &amp; Contractors" xfId="15"/>
    <cellStyle name="Percent [2]" xfId="16"/>
    <cellStyle name="Percent 2" xfId="38"/>
    <cellStyle name="Percent 2 2" xfId="39"/>
    <cellStyle name="Percent 2 3" xfId="59"/>
    <cellStyle name="Percent 3" xfId="40"/>
    <cellStyle name="Percent 3 2" xfId="41"/>
    <cellStyle name="Percent 4" xfId="23"/>
    <cellStyle name="Percent 41" xfId="20"/>
    <cellStyle name="Percent 41 2" xfId="90"/>
    <cellStyle name="Percent 41 3" xfId="448"/>
    <cellStyle name="Percent 5" xfId="42"/>
    <cellStyle name="Percent 5 2" xfId="43"/>
    <cellStyle name="Percent 5 3" xfId="44"/>
    <cellStyle name="Percent 6" xfId="45"/>
    <cellStyle name="Percent 6 2" xfId="46"/>
    <cellStyle name="Percent 7" xfId="65"/>
    <cellStyle name="Percent 7 2" xfId="91"/>
    <cellStyle name="Percent 7 3" xfId="449"/>
    <cellStyle name="Style 1" xfId="17"/>
    <cellStyle name="Style 2" xfId="54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showGridLines="0" zoomScale="80" zoomScaleNormal="80" zoomScaleSheetLayoutView="80" workbookViewId="0">
      <selection activeCell="I17" sqref="I17"/>
    </sheetView>
  </sheetViews>
  <sheetFormatPr defaultColWidth="9.28515625" defaultRowHeight="15" x14ac:dyDescent="0.2"/>
  <cols>
    <col min="1" max="1" width="3.7109375" style="6" customWidth="1"/>
    <col min="2" max="2" width="7.42578125" style="6" customWidth="1"/>
    <col min="3" max="3" width="12.5703125" style="6" customWidth="1"/>
    <col min="4" max="4" width="43.28515625" style="6" customWidth="1"/>
    <col min="5" max="5" width="11.42578125" style="6" customWidth="1"/>
    <col min="6" max="6" width="20.7109375" style="6" customWidth="1"/>
    <col min="7" max="8" width="18.7109375" style="6" customWidth="1"/>
    <col min="9" max="16384" width="9.28515625" style="6"/>
  </cols>
  <sheetData>
    <row r="1" spans="2:8" ht="15.75" x14ac:dyDescent="0.2">
      <c r="B1" s="213" t="s">
        <v>304</v>
      </c>
      <c r="C1" s="213"/>
      <c r="D1" s="214"/>
      <c r="E1" s="214"/>
      <c r="F1" s="1"/>
      <c r="G1" s="1"/>
      <c r="H1" s="1"/>
    </row>
    <row r="2" spans="2:8" ht="15.75" x14ac:dyDescent="0.2">
      <c r="B2" s="213" t="s">
        <v>346</v>
      </c>
      <c r="C2" s="213"/>
      <c r="D2" s="214"/>
      <c r="E2" s="214"/>
      <c r="F2" s="1"/>
      <c r="G2" s="1"/>
      <c r="H2" s="1"/>
    </row>
    <row r="3" spans="2:8" s="10" customFormat="1" ht="15.75" x14ac:dyDescent="0.2">
      <c r="B3" s="215" t="s">
        <v>279</v>
      </c>
      <c r="C3" s="215"/>
      <c r="D3" s="216"/>
      <c r="E3" s="216"/>
      <c r="F3" s="1"/>
      <c r="G3" s="1"/>
      <c r="H3" s="1"/>
    </row>
    <row r="4" spans="2:8" ht="15.75" x14ac:dyDescent="0.2">
      <c r="D4" s="68" t="s">
        <v>281</v>
      </c>
    </row>
    <row r="5" spans="2:8" ht="15.75" x14ac:dyDescent="0.2">
      <c r="B5" s="11" t="s">
        <v>169</v>
      </c>
      <c r="C5" s="11" t="s">
        <v>280</v>
      </c>
      <c r="D5" s="12" t="s">
        <v>7</v>
      </c>
      <c r="E5" s="12" t="s">
        <v>282</v>
      </c>
    </row>
    <row r="6" spans="2:8" x14ac:dyDescent="0.2">
      <c r="B6" s="7">
        <v>1</v>
      </c>
      <c r="C6" s="7" t="s">
        <v>6</v>
      </c>
      <c r="D6" s="150" t="s">
        <v>284</v>
      </c>
      <c r="E6" s="8"/>
    </row>
    <row r="7" spans="2:8" x14ac:dyDescent="0.2">
      <c r="B7" s="7">
        <f>B6+1</f>
        <v>2</v>
      </c>
      <c r="C7" s="7" t="s">
        <v>238</v>
      </c>
      <c r="D7" s="150" t="s">
        <v>286</v>
      </c>
      <c r="E7" s="8"/>
    </row>
    <row r="8" spans="2:8" x14ac:dyDescent="0.2">
      <c r="B8" s="7">
        <f>B7+1</f>
        <v>3</v>
      </c>
      <c r="C8" s="7" t="s">
        <v>24</v>
      </c>
      <c r="D8" s="150" t="s">
        <v>287</v>
      </c>
      <c r="E8" s="8"/>
    </row>
    <row r="9" spans="2:8" x14ac:dyDescent="0.2">
      <c r="B9" s="7">
        <f>B8+1</f>
        <v>4</v>
      </c>
      <c r="C9" s="7" t="s">
        <v>25</v>
      </c>
      <c r="D9" s="150" t="s">
        <v>288</v>
      </c>
      <c r="E9" s="8"/>
    </row>
    <row r="10" spans="2:8" x14ac:dyDescent="0.2">
      <c r="B10" s="7">
        <f>B9+1</f>
        <v>5</v>
      </c>
      <c r="C10" s="7" t="s">
        <v>239</v>
      </c>
      <c r="D10" s="150" t="s">
        <v>289</v>
      </c>
      <c r="E10" s="8"/>
    </row>
    <row r="11" spans="2:8" ht="30" x14ac:dyDescent="0.2">
      <c r="B11" s="7">
        <f t="shared" ref="B11:B26" si="0">B10+1</f>
        <v>6</v>
      </c>
      <c r="C11" s="7" t="s">
        <v>22</v>
      </c>
      <c r="D11" s="150" t="s">
        <v>193</v>
      </c>
      <c r="E11" s="8"/>
    </row>
    <row r="12" spans="2:8" ht="30" x14ac:dyDescent="0.2">
      <c r="B12" s="7">
        <f t="shared" si="0"/>
        <v>7</v>
      </c>
      <c r="C12" s="7" t="s">
        <v>27</v>
      </c>
      <c r="D12" s="150" t="s">
        <v>290</v>
      </c>
      <c r="E12" s="8"/>
    </row>
    <row r="13" spans="2:8" x14ac:dyDescent="0.2">
      <c r="B13" s="7">
        <f t="shared" si="0"/>
        <v>8</v>
      </c>
      <c r="C13" s="7" t="s">
        <v>28</v>
      </c>
      <c r="D13" s="9" t="s">
        <v>166</v>
      </c>
      <c r="E13" s="8"/>
    </row>
    <row r="14" spans="2:8" x14ac:dyDescent="0.2">
      <c r="B14" s="7">
        <f t="shared" si="0"/>
        <v>9</v>
      </c>
      <c r="C14" s="7" t="s">
        <v>23</v>
      </c>
      <c r="D14" s="9" t="s">
        <v>291</v>
      </c>
      <c r="E14" s="8"/>
    </row>
    <row r="15" spans="2:8" x14ac:dyDescent="0.2">
      <c r="B15" s="7">
        <f t="shared" si="0"/>
        <v>10</v>
      </c>
      <c r="C15" s="7" t="s">
        <v>29</v>
      </c>
      <c r="D15" s="150" t="s">
        <v>205</v>
      </c>
      <c r="E15" s="8"/>
    </row>
    <row r="16" spans="2:8" x14ac:dyDescent="0.2">
      <c r="B16" s="7">
        <f t="shared" si="0"/>
        <v>11</v>
      </c>
      <c r="C16" s="7" t="s">
        <v>30</v>
      </c>
      <c r="D16" s="9" t="s">
        <v>260</v>
      </c>
      <c r="E16" s="8"/>
    </row>
    <row r="17" spans="2:5" x14ac:dyDescent="0.2">
      <c r="B17" s="7">
        <f t="shared" si="0"/>
        <v>12</v>
      </c>
      <c r="C17" s="7" t="s">
        <v>31</v>
      </c>
      <c r="D17" s="9" t="s">
        <v>206</v>
      </c>
      <c r="E17" s="8"/>
    </row>
    <row r="18" spans="2:5" x14ac:dyDescent="0.2">
      <c r="B18" s="7">
        <f t="shared" si="0"/>
        <v>13</v>
      </c>
      <c r="C18" s="7" t="s">
        <v>32</v>
      </c>
      <c r="D18" s="9" t="s">
        <v>144</v>
      </c>
      <c r="E18" s="8"/>
    </row>
    <row r="19" spans="2:5" x14ac:dyDescent="0.2">
      <c r="B19" s="7">
        <f t="shared" si="0"/>
        <v>14</v>
      </c>
      <c r="C19" s="7" t="s">
        <v>33</v>
      </c>
      <c r="D19" s="9" t="s">
        <v>26</v>
      </c>
      <c r="E19" s="8"/>
    </row>
    <row r="20" spans="2:5" x14ac:dyDescent="0.2">
      <c r="B20" s="7">
        <f t="shared" si="0"/>
        <v>15</v>
      </c>
      <c r="C20" s="7" t="s">
        <v>34</v>
      </c>
      <c r="D20" s="150" t="s">
        <v>292</v>
      </c>
      <c r="E20" s="8"/>
    </row>
    <row r="21" spans="2:5" ht="30" x14ac:dyDescent="0.2">
      <c r="B21" s="7">
        <f t="shared" si="0"/>
        <v>16</v>
      </c>
      <c r="C21" s="7" t="s">
        <v>35</v>
      </c>
      <c r="D21" s="150" t="s">
        <v>293</v>
      </c>
      <c r="E21" s="8"/>
    </row>
    <row r="22" spans="2:5" x14ac:dyDescent="0.2">
      <c r="B22" s="7">
        <f t="shared" si="0"/>
        <v>17</v>
      </c>
      <c r="C22" s="7" t="s">
        <v>145</v>
      </c>
      <c r="D22" s="150" t="s">
        <v>209</v>
      </c>
      <c r="E22" s="8"/>
    </row>
    <row r="23" spans="2:5" x14ac:dyDescent="0.2">
      <c r="B23" s="7">
        <f t="shared" si="0"/>
        <v>18</v>
      </c>
      <c r="C23" s="7" t="s">
        <v>150</v>
      </c>
      <c r="D23" s="150" t="s">
        <v>294</v>
      </c>
      <c r="E23" s="8"/>
    </row>
    <row r="24" spans="2:5" x14ac:dyDescent="0.2">
      <c r="B24" s="7">
        <f t="shared" si="0"/>
        <v>19</v>
      </c>
      <c r="C24" s="7" t="s">
        <v>283</v>
      </c>
      <c r="D24" s="150" t="s">
        <v>200</v>
      </c>
      <c r="E24" s="8"/>
    </row>
    <row r="25" spans="2:5" x14ac:dyDescent="0.2">
      <c r="B25" s="7">
        <f t="shared" si="0"/>
        <v>20</v>
      </c>
      <c r="C25" s="7" t="s">
        <v>194</v>
      </c>
      <c r="D25" s="150" t="s">
        <v>295</v>
      </c>
      <c r="E25" s="8"/>
    </row>
    <row r="26" spans="2:5" x14ac:dyDescent="0.2">
      <c r="B26" s="7">
        <f t="shared" si="0"/>
        <v>21</v>
      </c>
      <c r="C26" s="7" t="s">
        <v>195</v>
      </c>
      <c r="D26" s="9" t="s">
        <v>296</v>
      </c>
      <c r="E26" s="8"/>
    </row>
  </sheetData>
  <mergeCells count="3">
    <mergeCell ref="B1:E1"/>
    <mergeCell ref="B3:E3"/>
    <mergeCell ref="B2:E2"/>
  </mergeCells>
  <phoneticPr fontId="14" type="noConversion"/>
  <pageMargins left="1.3" right="0.23622047244094499" top="1.1023622047244099" bottom="0.98425196850393704" header="0.23622047244094499" footer="0.23622047244094499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3"/>
  <sheetViews>
    <sheetView topLeftCell="A5" zoomScale="93" zoomScaleNormal="93" zoomScaleSheetLayoutView="90" workbookViewId="0">
      <selection activeCell="F21" sqref="F21"/>
    </sheetView>
  </sheetViews>
  <sheetFormatPr defaultColWidth="9.28515625" defaultRowHeight="14.25" x14ac:dyDescent="0.2"/>
  <cols>
    <col min="1" max="1" width="4.28515625" style="5" customWidth="1"/>
    <col min="2" max="2" width="5.140625" style="5" customWidth="1"/>
    <col min="3" max="3" width="23.140625" style="5" customWidth="1"/>
    <col min="4" max="4" width="8.140625" style="5" customWidth="1"/>
    <col min="5" max="5" width="11.28515625" style="5" customWidth="1"/>
    <col min="6" max="6" width="12.42578125" style="5" customWidth="1"/>
    <col min="7" max="7" width="9.5703125" style="5" customWidth="1"/>
    <col min="8" max="8" width="12.28515625" style="5" customWidth="1"/>
    <col min="9" max="9" width="12.140625" style="5" customWidth="1"/>
    <col min="10" max="10" width="14.140625" style="5" customWidth="1"/>
    <col min="11" max="11" width="9.5703125" style="5" customWidth="1"/>
    <col min="12" max="12" width="9.42578125" style="5" customWidth="1"/>
    <col min="13" max="13" width="12.85546875" style="5" customWidth="1"/>
    <col min="14" max="14" width="12.57031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6" ht="6" customHeight="1" x14ac:dyDescent="0.2">
      <c r="B1" s="24"/>
    </row>
    <row r="2" spans="2:16" ht="15" x14ac:dyDescent="0.2">
      <c r="B2" s="217" t="s">
        <v>305</v>
      </c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</row>
    <row r="3" spans="2:16" ht="15" x14ac:dyDescent="0.2">
      <c r="B3" s="217" t="str">
        <f>'F1'!$B$3</f>
        <v>Priyadarshini Jurala HES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</row>
    <row r="4" spans="2:16" ht="15" x14ac:dyDescent="0.2">
      <c r="B4" s="217" t="s">
        <v>244</v>
      </c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</row>
    <row r="5" spans="2:16" ht="10.5" customHeight="1" x14ac:dyDescent="0.2">
      <c r="K5" s="35"/>
      <c r="O5" s="32" t="s">
        <v>4</v>
      </c>
    </row>
    <row r="6" spans="2:16" ht="7.5" customHeight="1" thickBot="1" x14ac:dyDescent="0.25"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</row>
    <row r="7" spans="2:16" ht="15" x14ac:dyDescent="0.2">
      <c r="B7" s="238" t="s">
        <v>306</v>
      </c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40"/>
    </row>
    <row r="8" spans="2:16" ht="14.25" customHeight="1" x14ac:dyDescent="0.2">
      <c r="B8" s="241" t="s">
        <v>2</v>
      </c>
      <c r="C8" s="243" t="s">
        <v>237</v>
      </c>
      <c r="D8" s="245" t="s">
        <v>226</v>
      </c>
      <c r="E8" s="245" t="s">
        <v>227</v>
      </c>
      <c r="F8" s="245" t="s">
        <v>228</v>
      </c>
      <c r="G8" s="245"/>
      <c r="H8" s="245"/>
      <c r="I8" s="245"/>
      <c r="J8" s="245" t="s">
        <v>229</v>
      </c>
      <c r="K8" s="245"/>
      <c r="L8" s="245"/>
      <c r="M8" s="245"/>
      <c r="N8" s="245" t="s">
        <v>230</v>
      </c>
      <c r="O8" s="247"/>
    </row>
    <row r="9" spans="2:16" ht="60.75" thickBot="1" x14ac:dyDescent="0.25">
      <c r="B9" s="242"/>
      <c r="C9" s="244"/>
      <c r="D9" s="246"/>
      <c r="E9" s="246"/>
      <c r="F9" s="64" t="s">
        <v>231</v>
      </c>
      <c r="G9" s="64" t="s">
        <v>126</v>
      </c>
      <c r="H9" s="64" t="s">
        <v>232</v>
      </c>
      <c r="I9" s="64" t="s">
        <v>233</v>
      </c>
      <c r="J9" s="64" t="s">
        <v>234</v>
      </c>
      <c r="K9" s="64" t="s">
        <v>126</v>
      </c>
      <c r="L9" s="64" t="s">
        <v>235</v>
      </c>
      <c r="M9" s="64" t="s">
        <v>236</v>
      </c>
      <c r="N9" s="64" t="s">
        <v>231</v>
      </c>
      <c r="O9" s="65" t="s">
        <v>233</v>
      </c>
    </row>
    <row r="10" spans="2:16" ht="15" thickBot="1" x14ac:dyDescent="0.25">
      <c r="B10" s="160">
        <v>1</v>
      </c>
      <c r="C10" s="161" t="s">
        <v>335</v>
      </c>
      <c r="D10" s="162">
        <v>1000</v>
      </c>
      <c r="E10" s="133">
        <v>0</v>
      </c>
      <c r="F10" s="161">
        <v>0.35483999999999999</v>
      </c>
      <c r="G10" s="161">
        <v>0</v>
      </c>
      <c r="H10" s="161">
        <v>0</v>
      </c>
      <c r="I10" s="134">
        <f>F10+G10+H10</f>
        <v>0.35483999999999999</v>
      </c>
      <c r="J10" s="161">
        <v>0</v>
      </c>
      <c r="K10" s="161">
        <v>0</v>
      </c>
      <c r="L10" s="135"/>
      <c r="M10" s="134">
        <f>J10+K10+L10</f>
        <v>0</v>
      </c>
      <c r="N10" s="135">
        <f>+F10-J10</f>
        <v>0.35483999999999999</v>
      </c>
      <c r="O10" s="135">
        <f>+I10-M10</f>
        <v>0.35483999999999999</v>
      </c>
    </row>
    <row r="11" spans="2:16" ht="15" thickBot="1" x14ac:dyDescent="0.25">
      <c r="B11" s="160">
        <v>2</v>
      </c>
      <c r="C11" s="161" t="s">
        <v>336</v>
      </c>
      <c r="D11" s="162">
        <v>1100</v>
      </c>
      <c r="E11" s="133"/>
      <c r="F11" s="161">
        <v>225.38655586300001</v>
      </c>
      <c r="G11" s="161">
        <v>0</v>
      </c>
      <c r="H11" s="161">
        <v>0</v>
      </c>
      <c r="I11" s="134">
        <f t="shared" ref="I11:I20" si="0">F11+G11+H11</f>
        <v>225.38655586300001</v>
      </c>
      <c r="J11" s="161">
        <v>96.194901841999993</v>
      </c>
      <c r="K11" s="161">
        <v>6.6641222070000001</v>
      </c>
      <c r="L11" s="135"/>
      <c r="M11" s="134">
        <f t="shared" ref="M11:M20" si="1">J11+K11+L11</f>
        <v>102.859024049</v>
      </c>
      <c r="N11" s="135">
        <f t="shared" ref="N11:N20" si="2">+F11-J11</f>
        <v>129.19165402100003</v>
      </c>
      <c r="O11" s="135">
        <f t="shared" ref="O11:O20" si="3">+I11-M11</f>
        <v>122.52753181400001</v>
      </c>
    </row>
    <row r="12" spans="2:16" ht="15" thickBot="1" x14ac:dyDescent="0.25">
      <c r="B12" s="160">
        <v>3</v>
      </c>
      <c r="C12" s="161" t="s">
        <v>337</v>
      </c>
      <c r="D12" s="162">
        <v>1200</v>
      </c>
      <c r="E12" s="136"/>
      <c r="F12" s="161">
        <v>0.33214012000000004</v>
      </c>
      <c r="G12" s="161">
        <v>0</v>
      </c>
      <c r="H12" s="161">
        <v>0</v>
      </c>
      <c r="I12" s="134">
        <f t="shared" si="0"/>
        <v>0.33214012000000004</v>
      </c>
      <c r="J12" s="161">
        <v>6.7347833999999995E-2</v>
      </c>
      <c r="K12" s="161">
        <v>8.4785899999999994E-3</v>
      </c>
      <c r="L12" s="135"/>
      <c r="M12" s="134">
        <f t="shared" si="1"/>
        <v>7.582642399999999E-2</v>
      </c>
      <c r="N12" s="135">
        <f t="shared" si="2"/>
        <v>0.26479228600000004</v>
      </c>
      <c r="O12" s="135">
        <f t="shared" si="3"/>
        <v>0.25631369600000004</v>
      </c>
    </row>
    <row r="13" spans="2:16" ht="15" thickBot="1" x14ac:dyDescent="0.25">
      <c r="B13" s="160">
        <v>4</v>
      </c>
      <c r="C13" s="161" t="s">
        <v>338</v>
      </c>
      <c r="D13" s="162">
        <v>1300</v>
      </c>
      <c r="E13" s="136"/>
      <c r="F13" s="161">
        <v>435.93564724299995</v>
      </c>
      <c r="G13" s="161">
        <v>2.1099284999999999E-2</v>
      </c>
      <c r="H13" s="161"/>
      <c r="I13" s="134">
        <f t="shared" si="0"/>
        <v>435.95674652799994</v>
      </c>
      <c r="J13" s="161">
        <v>210.60250876499998</v>
      </c>
      <c r="K13" s="161">
        <v>3.7180615730000035</v>
      </c>
      <c r="L13" s="135"/>
      <c r="M13" s="134">
        <f t="shared" si="1"/>
        <v>214.32057033799998</v>
      </c>
      <c r="N13" s="135">
        <f t="shared" si="2"/>
        <v>225.33313847799997</v>
      </c>
      <c r="O13" s="135">
        <f t="shared" si="3"/>
        <v>221.63617618999996</v>
      </c>
    </row>
    <row r="14" spans="2:16" ht="15" thickBot="1" x14ac:dyDescent="0.25">
      <c r="B14" s="160">
        <v>5</v>
      </c>
      <c r="C14" s="161" t="s">
        <v>339</v>
      </c>
      <c r="D14" s="162">
        <v>1400</v>
      </c>
      <c r="E14" s="136"/>
      <c r="F14" s="161">
        <v>24.9535266</v>
      </c>
      <c r="G14" s="161">
        <v>0</v>
      </c>
      <c r="H14" s="161"/>
      <c r="I14" s="134">
        <f>F14+G14+H14</f>
        <v>24.9535266</v>
      </c>
      <c r="J14" s="161">
        <v>13.092283575</v>
      </c>
      <c r="K14" s="161">
        <v>0.43394791599999999</v>
      </c>
      <c r="L14" s="135"/>
      <c r="M14" s="134">
        <f t="shared" si="1"/>
        <v>13.526231490999999</v>
      </c>
      <c r="N14" s="135">
        <f t="shared" si="2"/>
        <v>11.861243025</v>
      </c>
      <c r="O14" s="135">
        <f t="shared" si="3"/>
        <v>11.427295109000001</v>
      </c>
      <c r="P14" s="151"/>
    </row>
    <row r="15" spans="2:16" ht="15" thickBot="1" x14ac:dyDescent="0.25">
      <c r="B15" s="160">
        <v>6</v>
      </c>
      <c r="C15" s="161" t="s">
        <v>340</v>
      </c>
      <c r="D15" s="162">
        <v>1500</v>
      </c>
      <c r="E15" s="136"/>
      <c r="F15" s="161">
        <v>1.1438991999999999</v>
      </c>
      <c r="G15" s="161">
        <v>0</v>
      </c>
      <c r="H15" s="161"/>
      <c r="I15" s="134">
        <f t="shared" si="0"/>
        <v>1.1438991999999999</v>
      </c>
      <c r="J15" s="161">
        <v>0.585669667</v>
      </c>
      <c r="K15" s="161">
        <v>1.8177732000000002E-2</v>
      </c>
      <c r="L15" s="135"/>
      <c r="M15" s="134">
        <f t="shared" si="1"/>
        <v>0.60384739899999995</v>
      </c>
      <c r="N15" s="135">
        <f t="shared" si="2"/>
        <v>0.55822953299999989</v>
      </c>
      <c r="O15" s="135">
        <f t="shared" si="3"/>
        <v>0.54005180099999994</v>
      </c>
    </row>
    <row r="16" spans="2:16" ht="15" thickBot="1" x14ac:dyDescent="0.25">
      <c r="B16" s="160">
        <v>7</v>
      </c>
      <c r="C16" s="161" t="s">
        <v>341</v>
      </c>
      <c r="D16" s="162">
        <v>1600</v>
      </c>
      <c r="E16" s="136"/>
      <c r="F16" s="161">
        <v>2.437117588</v>
      </c>
      <c r="G16" s="161">
        <v>0</v>
      </c>
      <c r="H16" s="161"/>
      <c r="I16" s="134">
        <f t="shared" si="0"/>
        <v>2.437117588</v>
      </c>
      <c r="J16" s="161">
        <v>0.52473346399999998</v>
      </c>
      <c r="K16" s="161">
        <v>9.6269561000000003E-2</v>
      </c>
      <c r="L16" s="135"/>
      <c r="M16" s="134">
        <f t="shared" si="1"/>
        <v>0.62100302500000004</v>
      </c>
      <c r="N16" s="135">
        <f t="shared" si="2"/>
        <v>1.9123841239999999</v>
      </c>
      <c r="O16" s="135">
        <f t="shared" si="3"/>
        <v>1.816114563</v>
      </c>
    </row>
    <row r="17" spans="2:16" ht="15" thickBot="1" x14ac:dyDescent="0.25">
      <c r="B17" s="160">
        <v>8</v>
      </c>
      <c r="C17" s="161" t="s">
        <v>342</v>
      </c>
      <c r="D17" s="162">
        <v>1700</v>
      </c>
      <c r="E17" s="136"/>
      <c r="F17" s="161">
        <v>0.36465002499999999</v>
      </c>
      <c r="G17" s="161">
        <v>0</v>
      </c>
      <c r="H17" s="161"/>
      <c r="I17" s="134">
        <f t="shared" si="0"/>
        <v>0.36465002499999999</v>
      </c>
      <c r="J17" s="161">
        <v>0.32818502199999999</v>
      </c>
      <c r="K17" s="161">
        <v>0</v>
      </c>
      <c r="L17" s="135"/>
      <c r="M17" s="134">
        <f t="shared" si="1"/>
        <v>0.32818502199999999</v>
      </c>
      <c r="N17" s="135">
        <f t="shared" si="2"/>
        <v>3.6465002999999996E-2</v>
      </c>
      <c r="O17" s="135">
        <f t="shared" si="3"/>
        <v>3.6465002999999996E-2</v>
      </c>
    </row>
    <row r="18" spans="2:16" ht="15" thickBot="1" x14ac:dyDescent="0.25">
      <c r="B18" s="160">
        <v>9</v>
      </c>
      <c r="C18" s="161" t="s">
        <v>343</v>
      </c>
      <c r="D18" s="162">
        <v>1800</v>
      </c>
      <c r="E18" s="136"/>
      <c r="F18" s="161">
        <v>0.54009041400000002</v>
      </c>
      <c r="G18" s="161">
        <v>0</v>
      </c>
      <c r="H18" s="161">
        <v>0</v>
      </c>
      <c r="I18" s="134">
        <f t="shared" si="0"/>
        <v>0.54009041400000002</v>
      </c>
      <c r="J18" s="161">
        <v>0.41672128999999997</v>
      </c>
      <c r="K18" s="161">
        <v>1.7787073E-2</v>
      </c>
      <c r="L18" s="135"/>
      <c r="M18" s="134">
        <f t="shared" si="1"/>
        <v>0.43450836299999995</v>
      </c>
      <c r="N18" s="135">
        <f t="shared" si="2"/>
        <v>0.12336912400000005</v>
      </c>
      <c r="O18" s="135">
        <f t="shared" si="3"/>
        <v>0.10558205100000007</v>
      </c>
    </row>
    <row r="19" spans="2:16" ht="15" thickBot="1" x14ac:dyDescent="0.25">
      <c r="B19" s="160">
        <v>10</v>
      </c>
      <c r="C19" s="161" t="s">
        <v>347</v>
      </c>
      <c r="D19" s="162">
        <v>1900</v>
      </c>
      <c r="E19" s="136"/>
      <c r="F19" s="161">
        <v>0.45314947500000002</v>
      </c>
      <c r="G19" s="161">
        <v>0.01</v>
      </c>
      <c r="H19" s="161">
        <v>0</v>
      </c>
      <c r="I19" s="134">
        <f t="shared" si="0"/>
        <v>0.46314947500000003</v>
      </c>
      <c r="J19" s="161">
        <v>0.38650499399999999</v>
      </c>
      <c r="K19" s="161">
        <v>5.3503206999999997E-2</v>
      </c>
      <c r="L19" s="135"/>
      <c r="M19" s="134">
        <f t="shared" si="1"/>
        <v>0.44000820099999999</v>
      </c>
      <c r="N19" s="135">
        <f t="shared" si="2"/>
        <v>6.6644481000000033E-2</v>
      </c>
      <c r="O19" s="135">
        <f t="shared" si="3"/>
        <v>2.3141274000000045E-2</v>
      </c>
    </row>
    <row r="20" spans="2:16" x14ac:dyDescent="0.2">
      <c r="B20" s="160">
        <v>11</v>
      </c>
      <c r="C20" s="161" t="s">
        <v>344</v>
      </c>
      <c r="D20" s="162">
        <v>2100</v>
      </c>
      <c r="E20" s="136"/>
      <c r="F20" s="161">
        <v>0.59838347199999997</v>
      </c>
      <c r="G20" s="161"/>
      <c r="H20" s="161">
        <v>0</v>
      </c>
      <c r="I20" s="134">
        <f t="shared" si="0"/>
        <v>0.59838347199999997</v>
      </c>
      <c r="J20" s="161">
        <v>0.351143547</v>
      </c>
      <c r="K20" s="161">
        <v>0.129652141</v>
      </c>
      <c r="L20" s="135"/>
      <c r="M20" s="134">
        <f t="shared" si="1"/>
        <v>0.480795688</v>
      </c>
      <c r="N20" s="135">
        <f t="shared" si="2"/>
        <v>0.24723992499999997</v>
      </c>
      <c r="O20" s="135">
        <f t="shared" si="3"/>
        <v>0.11758778399999997</v>
      </c>
    </row>
    <row r="21" spans="2:16" s="48" customFormat="1" ht="15.75" thickBot="1" x14ac:dyDescent="0.25">
      <c r="B21" s="147"/>
      <c r="C21" s="148" t="s">
        <v>127</v>
      </c>
      <c r="D21" s="148"/>
      <c r="E21" s="145">
        <f>IFERROR((K21-L21)/AVERAGE(F21,I21),0)</f>
        <v>1.6086294159693294E-2</v>
      </c>
      <c r="F21" s="144">
        <f>ROUND(SUM(F10:F20),2)</f>
        <v>692.5</v>
      </c>
      <c r="G21" s="144">
        <f t="shared" ref="G21:O21" si="4">ROUND(SUM(G10:G20),2)</f>
        <v>0.03</v>
      </c>
      <c r="H21" s="144">
        <f t="shared" si="4"/>
        <v>0</v>
      </c>
      <c r="I21" s="144">
        <f t="shared" si="4"/>
        <v>692.53</v>
      </c>
      <c r="J21" s="144">
        <f t="shared" si="4"/>
        <v>322.55</v>
      </c>
      <c r="K21" s="144">
        <f t="shared" si="4"/>
        <v>11.14</v>
      </c>
      <c r="L21" s="144">
        <f t="shared" si="4"/>
        <v>0</v>
      </c>
      <c r="M21" s="144">
        <f t="shared" si="4"/>
        <v>333.69</v>
      </c>
      <c r="N21" s="144">
        <f t="shared" si="4"/>
        <v>369.95</v>
      </c>
      <c r="O21" s="144">
        <f t="shared" si="4"/>
        <v>358.84</v>
      </c>
    </row>
    <row r="22" spans="2:16" ht="15" thickBot="1" x14ac:dyDescent="0.25"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</row>
    <row r="23" spans="2:16" ht="15" x14ac:dyDescent="0.2">
      <c r="B23" s="238" t="s">
        <v>307</v>
      </c>
      <c r="C23" s="239"/>
      <c r="D23" s="239"/>
      <c r="E23" s="239"/>
      <c r="F23" s="239"/>
      <c r="G23" s="239"/>
      <c r="H23" s="239"/>
      <c r="I23" s="239"/>
      <c r="J23" s="239"/>
      <c r="K23" s="239"/>
      <c r="L23" s="239"/>
      <c r="M23" s="239"/>
      <c r="N23" s="239"/>
      <c r="O23" s="240"/>
    </row>
    <row r="24" spans="2:16" ht="15" x14ac:dyDescent="0.2">
      <c r="B24" s="241" t="s">
        <v>2</v>
      </c>
      <c r="C24" s="243" t="s">
        <v>237</v>
      </c>
      <c r="D24" s="245" t="s">
        <v>226</v>
      </c>
      <c r="E24" s="245" t="s">
        <v>227</v>
      </c>
      <c r="F24" s="245" t="s">
        <v>228</v>
      </c>
      <c r="G24" s="245"/>
      <c r="H24" s="245"/>
      <c r="I24" s="245"/>
      <c r="J24" s="245" t="s">
        <v>229</v>
      </c>
      <c r="K24" s="245"/>
      <c r="L24" s="245"/>
      <c r="M24" s="245"/>
      <c r="N24" s="245" t="s">
        <v>230</v>
      </c>
      <c r="O24" s="247"/>
    </row>
    <row r="25" spans="2:16" ht="60.75" thickBot="1" x14ac:dyDescent="0.25">
      <c r="B25" s="242"/>
      <c r="C25" s="244"/>
      <c r="D25" s="246"/>
      <c r="E25" s="246"/>
      <c r="F25" s="64" t="s">
        <v>231</v>
      </c>
      <c r="G25" s="64" t="s">
        <v>126</v>
      </c>
      <c r="H25" s="64" t="s">
        <v>232</v>
      </c>
      <c r="I25" s="64" t="s">
        <v>233</v>
      </c>
      <c r="J25" s="64" t="s">
        <v>234</v>
      </c>
      <c r="K25" s="64" t="s">
        <v>126</v>
      </c>
      <c r="L25" s="64" t="s">
        <v>235</v>
      </c>
      <c r="M25" s="64" t="s">
        <v>236</v>
      </c>
      <c r="N25" s="64" t="s">
        <v>231</v>
      </c>
      <c r="O25" s="65" t="s">
        <v>233</v>
      </c>
    </row>
    <row r="26" spans="2:16" ht="15" thickBot="1" x14ac:dyDescent="0.25">
      <c r="B26" s="160">
        <v>1</v>
      </c>
      <c r="C26" s="161" t="s">
        <v>335</v>
      </c>
      <c r="D26" s="162">
        <v>1000</v>
      </c>
      <c r="E26" s="133">
        <v>0</v>
      </c>
      <c r="F26" s="135">
        <f t="shared" ref="F26:F36" si="5">I10</f>
        <v>0.35483999999999999</v>
      </c>
      <c r="G26" s="135"/>
      <c r="H26" s="135"/>
      <c r="I26" s="134">
        <f>F26+G26+H26</f>
        <v>0.35483999999999999</v>
      </c>
      <c r="J26" s="135">
        <f t="shared" ref="J26:J36" si="6">M10</f>
        <v>0</v>
      </c>
      <c r="K26" s="135">
        <v>0</v>
      </c>
      <c r="L26" s="135"/>
      <c r="M26" s="134">
        <f>J26+K26+L26</f>
        <v>0</v>
      </c>
      <c r="N26" s="135">
        <f>+F26-J26</f>
        <v>0.35483999999999999</v>
      </c>
      <c r="O26" s="135">
        <f>+I26-M26</f>
        <v>0.35483999999999999</v>
      </c>
    </row>
    <row r="27" spans="2:16" ht="15" thickBot="1" x14ac:dyDescent="0.25">
      <c r="B27" s="160">
        <v>2</v>
      </c>
      <c r="C27" s="161" t="s">
        <v>336</v>
      </c>
      <c r="D27" s="162">
        <v>1100</v>
      </c>
      <c r="E27" s="133"/>
      <c r="F27" s="135">
        <f t="shared" si="5"/>
        <v>225.38655586300001</v>
      </c>
      <c r="G27" s="135"/>
      <c r="H27" s="135"/>
      <c r="I27" s="134">
        <f t="shared" ref="I27:I36" si="7">F27+G27+H27</f>
        <v>225.38655586300001</v>
      </c>
      <c r="J27" s="135">
        <f t="shared" si="6"/>
        <v>102.859024049</v>
      </c>
      <c r="K27" s="135">
        <v>6.6641222070000001</v>
      </c>
      <c r="L27" s="135"/>
      <c r="M27" s="134">
        <f t="shared" ref="M27:M36" si="8">J27+K27+L27</f>
        <v>109.523146256</v>
      </c>
      <c r="N27" s="135">
        <f t="shared" ref="N27:N36" si="9">+F27-J27</f>
        <v>122.52753181400001</v>
      </c>
      <c r="O27" s="135">
        <f t="shared" ref="O27:O36" si="10">+I27-M27</f>
        <v>115.86340960700001</v>
      </c>
    </row>
    <row r="28" spans="2:16" ht="15" thickBot="1" x14ac:dyDescent="0.25">
      <c r="B28" s="160">
        <v>3</v>
      </c>
      <c r="C28" s="161" t="s">
        <v>337</v>
      </c>
      <c r="D28" s="162">
        <v>1200</v>
      </c>
      <c r="E28" s="136"/>
      <c r="F28" s="135">
        <f t="shared" si="5"/>
        <v>0.33214012000000004</v>
      </c>
      <c r="G28" s="135"/>
      <c r="H28" s="135"/>
      <c r="I28" s="134">
        <f t="shared" si="7"/>
        <v>0.33214012000000004</v>
      </c>
      <c r="J28" s="135">
        <f t="shared" si="6"/>
        <v>7.582642399999999E-2</v>
      </c>
      <c r="K28" s="135">
        <v>8.4785899999999994E-3</v>
      </c>
      <c r="L28" s="135"/>
      <c r="M28" s="134">
        <f t="shared" si="8"/>
        <v>8.4305013999999984E-2</v>
      </c>
      <c r="N28" s="135">
        <f t="shared" si="9"/>
        <v>0.25631369600000004</v>
      </c>
      <c r="O28" s="135">
        <f t="shared" si="10"/>
        <v>0.24783510600000005</v>
      </c>
    </row>
    <row r="29" spans="2:16" ht="15" thickBot="1" x14ac:dyDescent="0.25">
      <c r="B29" s="160">
        <v>4</v>
      </c>
      <c r="C29" s="161" t="s">
        <v>338</v>
      </c>
      <c r="D29" s="162">
        <v>1300</v>
      </c>
      <c r="E29" s="136"/>
      <c r="F29" s="135">
        <f t="shared" si="5"/>
        <v>435.95674652799994</v>
      </c>
      <c r="G29" s="135"/>
      <c r="H29" s="135"/>
      <c r="I29" s="134">
        <f t="shared" si="7"/>
        <v>435.95674652799994</v>
      </c>
      <c r="J29" s="135">
        <f t="shared" si="6"/>
        <v>214.32057033799998</v>
      </c>
      <c r="K29" s="135">
        <v>3.7180615730000035</v>
      </c>
      <c r="L29" s="135"/>
      <c r="M29" s="134">
        <f t="shared" si="8"/>
        <v>218.03863191099998</v>
      </c>
      <c r="N29" s="135">
        <f t="shared" si="9"/>
        <v>221.63617618999996</v>
      </c>
      <c r="O29" s="135">
        <f t="shared" si="10"/>
        <v>217.91811461699996</v>
      </c>
    </row>
    <row r="30" spans="2:16" ht="15" thickBot="1" x14ac:dyDescent="0.25">
      <c r="B30" s="160">
        <v>5</v>
      </c>
      <c r="C30" s="161" t="s">
        <v>339</v>
      </c>
      <c r="D30" s="162">
        <v>1400</v>
      </c>
      <c r="E30" s="136"/>
      <c r="F30" s="135">
        <f t="shared" si="5"/>
        <v>24.9535266</v>
      </c>
      <c r="G30" s="135"/>
      <c r="H30" s="135"/>
      <c r="I30" s="134">
        <f t="shared" si="7"/>
        <v>24.9535266</v>
      </c>
      <c r="J30" s="135">
        <f t="shared" si="6"/>
        <v>13.526231490999999</v>
      </c>
      <c r="K30" s="149">
        <v>0.43394791599999999</v>
      </c>
      <c r="L30" s="135"/>
      <c r="M30" s="134">
        <f t="shared" si="8"/>
        <v>13.960179406999998</v>
      </c>
      <c r="N30" s="135">
        <f t="shared" si="9"/>
        <v>11.427295109000001</v>
      </c>
      <c r="O30" s="135">
        <f t="shared" si="10"/>
        <v>10.993347193000002</v>
      </c>
    </row>
    <row r="31" spans="2:16" ht="15" thickBot="1" x14ac:dyDescent="0.25">
      <c r="B31" s="160">
        <v>6</v>
      </c>
      <c r="C31" s="161" t="s">
        <v>340</v>
      </c>
      <c r="D31" s="162">
        <v>1500</v>
      </c>
      <c r="E31" s="136"/>
      <c r="F31" s="135">
        <f t="shared" si="5"/>
        <v>1.1438991999999999</v>
      </c>
      <c r="G31" s="135"/>
      <c r="H31" s="135"/>
      <c r="I31" s="134">
        <f t="shared" si="7"/>
        <v>1.1438991999999999</v>
      </c>
      <c r="J31" s="135">
        <f t="shared" si="6"/>
        <v>0.60384739899999995</v>
      </c>
      <c r="K31" s="149">
        <v>1.8177732000000002E-2</v>
      </c>
      <c r="L31" s="135"/>
      <c r="M31" s="134">
        <f t="shared" si="8"/>
        <v>0.62202513100000001</v>
      </c>
      <c r="N31" s="135">
        <f t="shared" si="9"/>
        <v>0.54005180099999994</v>
      </c>
      <c r="O31" s="135">
        <f t="shared" si="10"/>
        <v>0.52187406899999988</v>
      </c>
    </row>
    <row r="32" spans="2:16" ht="15" thickBot="1" x14ac:dyDescent="0.25">
      <c r="B32" s="160">
        <v>7</v>
      </c>
      <c r="C32" s="161" t="s">
        <v>341</v>
      </c>
      <c r="D32" s="162">
        <v>1600</v>
      </c>
      <c r="E32" s="136"/>
      <c r="F32" s="135">
        <f t="shared" si="5"/>
        <v>2.437117588</v>
      </c>
      <c r="G32" s="135"/>
      <c r="H32" s="135"/>
      <c r="I32" s="134">
        <f t="shared" si="7"/>
        <v>2.437117588</v>
      </c>
      <c r="J32" s="135">
        <f t="shared" si="6"/>
        <v>0.62100302500000004</v>
      </c>
      <c r="K32" s="149">
        <v>9.6269561000000003E-2</v>
      </c>
      <c r="L32" s="135"/>
      <c r="M32" s="134">
        <f t="shared" si="8"/>
        <v>0.71727258599999999</v>
      </c>
      <c r="N32" s="135">
        <f t="shared" si="9"/>
        <v>1.816114563</v>
      </c>
      <c r="O32" s="135">
        <f t="shared" si="10"/>
        <v>1.719845002</v>
      </c>
    </row>
    <row r="33" spans="2:15" ht="15" thickBot="1" x14ac:dyDescent="0.25">
      <c r="B33" s="160">
        <v>8</v>
      </c>
      <c r="C33" s="161" t="s">
        <v>342</v>
      </c>
      <c r="D33" s="162">
        <v>1700</v>
      </c>
      <c r="E33" s="136"/>
      <c r="F33" s="135">
        <f t="shared" si="5"/>
        <v>0.36465002499999999</v>
      </c>
      <c r="G33" s="135"/>
      <c r="H33" s="135"/>
      <c r="I33" s="134">
        <f t="shared" si="7"/>
        <v>0.36465002499999999</v>
      </c>
      <c r="J33" s="135">
        <f t="shared" si="6"/>
        <v>0.32818502199999999</v>
      </c>
      <c r="K33" s="149">
        <v>0</v>
      </c>
      <c r="L33" s="135"/>
      <c r="M33" s="134">
        <f t="shared" si="8"/>
        <v>0.32818502199999999</v>
      </c>
      <c r="N33" s="135">
        <f t="shared" si="9"/>
        <v>3.6465002999999996E-2</v>
      </c>
      <c r="O33" s="135">
        <f t="shared" si="10"/>
        <v>3.6465002999999996E-2</v>
      </c>
    </row>
    <row r="34" spans="2:15" ht="15" thickBot="1" x14ac:dyDescent="0.25">
      <c r="B34" s="160">
        <v>9</v>
      </c>
      <c r="C34" s="161" t="s">
        <v>343</v>
      </c>
      <c r="D34" s="162">
        <v>1800</v>
      </c>
      <c r="E34" s="136"/>
      <c r="F34" s="135">
        <f t="shared" si="5"/>
        <v>0.54009041400000002</v>
      </c>
      <c r="G34" s="135"/>
      <c r="H34" s="135"/>
      <c r="I34" s="134">
        <f t="shared" si="7"/>
        <v>0.54009041400000002</v>
      </c>
      <c r="J34" s="135">
        <f t="shared" si="6"/>
        <v>0.43450836299999995</v>
      </c>
      <c r="K34" s="149">
        <v>1.7787073E-2</v>
      </c>
      <c r="L34" s="135"/>
      <c r="M34" s="134">
        <f t="shared" si="8"/>
        <v>0.45229543599999994</v>
      </c>
      <c r="N34" s="135">
        <f t="shared" si="9"/>
        <v>0.10558205100000007</v>
      </c>
      <c r="O34" s="135">
        <f t="shared" si="10"/>
        <v>8.7794978000000079E-2</v>
      </c>
    </row>
    <row r="35" spans="2:15" ht="15" thickBot="1" x14ac:dyDescent="0.25">
      <c r="B35" s="160">
        <v>10</v>
      </c>
      <c r="C35" s="161" t="s">
        <v>347</v>
      </c>
      <c r="D35" s="162">
        <v>1900</v>
      </c>
      <c r="E35" s="136"/>
      <c r="F35" s="135">
        <f t="shared" si="5"/>
        <v>0.46314947500000003</v>
      </c>
      <c r="G35" s="135"/>
      <c r="H35" s="135"/>
      <c r="I35" s="134">
        <f t="shared" si="7"/>
        <v>0.46314947500000003</v>
      </c>
      <c r="J35" s="135">
        <f t="shared" si="6"/>
        <v>0.44000820099999999</v>
      </c>
      <c r="K35" s="149">
        <v>5.3503206999999997E-2</v>
      </c>
      <c r="L35" s="135"/>
      <c r="M35" s="134">
        <f t="shared" si="8"/>
        <v>0.49351140799999998</v>
      </c>
      <c r="N35" s="135">
        <f t="shared" si="9"/>
        <v>2.3141274000000045E-2</v>
      </c>
      <c r="O35" s="135">
        <f t="shared" si="10"/>
        <v>-3.0361932999999952E-2</v>
      </c>
    </row>
    <row r="36" spans="2:15" x14ac:dyDescent="0.2">
      <c r="B36" s="160">
        <v>11</v>
      </c>
      <c r="C36" s="161" t="s">
        <v>344</v>
      </c>
      <c r="D36" s="162">
        <v>2100</v>
      </c>
      <c r="E36" s="136"/>
      <c r="F36" s="135">
        <f t="shared" si="5"/>
        <v>0.59838347199999997</v>
      </c>
      <c r="G36" s="135"/>
      <c r="H36" s="135"/>
      <c r="I36" s="134">
        <f t="shared" si="7"/>
        <v>0.59838347199999997</v>
      </c>
      <c r="J36" s="135">
        <f t="shared" si="6"/>
        <v>0.480795688</v>
      </c>
      <c r="K36" s="149">
        <v>0.129652141</v>
      </c>
      <c r="L36" s="135"/>
      <c r="M36" s="134">
        <f t="shared" si="8"/>
        <v>0.61044782899999994</v>
      </c>
      <c r="N36" s="135">
        <f t="shared" si="9"/>
        <v>0.11758778399999997</v>
      </c>
      <c r="O36" s="135">
        <f t="shared" si="10"/>
        <v>-1.206435699999997E-2</v>
      </c>
    </row>
    <row r="37" spans="2:15" ht="15.75" thickBot="1" x14ac:dyDescent="0.25">
      <c r="B37" s="66"/>
      <c r="C37" s="67" t="s">
        <v>127</v>
      </c>
      <c r="D37" s="67"/>
      <c r="E37" s="102">
        <f>IFERROR((K37-L37)/AVERAGE(F37,I37),0)</f>
        <v>1.6085945735202809E-2</v>
      </c>
      <c r="F37" s="144">
        <f>ROUND(SUM(F26:F36),2)</f>
        <v>692.53</v>
      </c>
      <c r="G37" s="144">
        <f t="shared" ref="G37:O37" si="11">ROUND(SUM(G26:G36),2)</f>
        <v>0</v>
      </c>
      <c r="H37" s="144">
        <f t="shared" si="11"/>
        <v>0</v>
      </c>
      <c r="I37" s="144">
        <f t="shared" si="11"/>
        <v>692.53</v>
      </c>
      <c r="J37" s="144">
        <f t="shared" si="11"/>
        <v>333.69</v>
      </c>
      <c r="K37" s="144">
        <f t="shared" si="11"/>
        <v>11.14</v>
      </c>
      <c r="L37" s="144">
        <f t="shared" si="11"/>
        <v>0</v>
      </c>
      <c r="M37" s="144">
        <f t="shared" si="11"/>
        <v>344.83</v>
      </c>
      <c r="N37" s="144">
        <f t="shared" si="11"/>
        <v>358.84</v>
      </c>
      <c r="O37" s="144">
        <f t="shared" si="11"/>
        <v>347.7</v>
      </c>
    </row>
    <row r="38" spans="2:15" ht="15" thickBot="1" x14ac:dyDescent="0.25">
      <c r="K38" s="146"/>
    </row>
    <row r="39" spans="2:15" ht="15" x14ac:dyDescent="0.2">
      <c r="B39" s="238" t="s">
        <v>332</v>
      </c>
      <c r="C39" s="239"/>
      <c r="D39" s="239"/>
      <c r="E39" s="239"/>
      <c r="F39" s="239"/>
      <c r="G39" s="239"/>
      <c r="H39" s="239"/>
      <c r="I39" s="239"/>
      <c r="J39" s="239"/>
      <c r="K39" s="239"/>
      <c r="L39" s="239"/>
      <c r="M39" s="239"/>
      <c r="N39" s="239"/>
      <c r="O39" s="240"/>
    </row>
    <row r="40" spans="2:15" ht="15" x14ac:dyDescent="0.2">
      <c r="B40" s="241" t="s">
        <v>2</v>
      </c>
      <c r="C40" s="243" t="s">
        <v>237</v>
      </c>
      <c r="D40" s="245" t="s">
        <v>226</v>
      </c>
      <c r="E40" s="245" t="s">
        <v>227</v>
      </c>
      <c r="F40" s="245" t="s">
        <v>228</v>
      </c>
      <c r="G40" s="245"/>
      <c r="H40" s="245"/>
      <c r="I40" s="245"/>
      <c r="J40" s="245" t="s">
        <v>229</v>
      </c>
      <c r="K40" s="245"/>
      <c r="L40" s="245"/>
      <c r="M40" s="245"/>
      <c r="N40" s="245" t="s">
        <v>230</v>
      </c>
      <c r="O40" s="247"/>
    </row>
    <row r="41" spans="2:15" ht="60.75" thickBot="1" x14ac:dyDescent="0.25">
      <c r="B41" s="242"/>
      <c r="C41" s="244"/>
      <c r="D41" s="246"/>
      <c r="E41" s="246"/>
      <c r="F41" s="64" t="s">
        <v>231</v>
      </c>
      <c r="G41" s="64" t="s">
        <v>126</v>
      </c>
      <c r="H41" s="64" t="s">
        <v>232</v>
      </c>
      <c r="I41" s="64" t="s">
        <v>233</v>
      </c>
      <c r="J41" s="64" t="s">
        <v>234</v>
      </c>
      <c r="K41" s="64" t="s">
        <v>126</v>
      </c>
      <c r="L41" s="64" t="s">
        <v>235</v>
      </c>
      <c r="M41" s="64" t="s">
        <v>236</v>
      </c>
      <c r="N41" s="64" t="s">
        <v>231</v>
      </c>
      <c r="O41" s="65" t="s">
        <v>233</v>
      </c>
    </row>
    <row r="42" spans="2:15" ht="15" thickBot="1" x14ac:dyDescent="0.25">
      <c r="B42" s="160">
        <v>1</v>
      </c>
      <c r="C42" s="161" t="s">
        <v>335</v>
      </c>
      <c r="D42" s="162">
        <v>1000</v>
      </c>
      <c r="E42" s="133">
        <v>0</v>
      </c>
      <c r="F42" s="135">
        <f t="shared" ref="F42:F52" si="12">I26</f>
        <v>0.35483999999999999</v>
      </c>
      <c r="G42" s="135"/>
      <c r="H42" s="135"/>
      <c r="I42" s="134">
        <f>F42+G42+H42</f>
        <v>0.35483999999999999</v>
      </c>
      <c r="J42" s="135">
        <f t="shared" ref="J42:J52" si="13">M26</f>
        <v>0</v>
      </c>
      <c r="K42" s="135">
        <v>0</v>
      </c>
      <c r="L42" s="135"/>
      <c r="M42" s="134">
        <f>J42+K42+L42</f>
        <v>0</v>
      </c>
      <c r="N42" s="135">
        <f>+F42-J42</f>
        <v>0.35483999999999999</v>
      </c>
      <c r="O42" s="135">
        <f>+I42-M42</f>
        <v>0.35483999999999999</v>
      </c>
    </row>
    <row r="43" spans="2:15" ht="15" thickBot="1" x14ac:dyDescent="0.25">
      <c r="B43" s="160">
        <v>2</v>
      </c>
      <c r="C43" s="161" t="s">
        <v>336</v>
      </c>
      <c r="D43" s="162">
        <v>1100</v>
      </c>
      <c r="E43" s="133"/>
      <c r="F43" s="135">
        <f t="shared" si="12"/>
        <v>225.38655586300001</v>
      </c>
      <c r="G43" s="135"/>
      <c r="H43" s="135"/>
      <c r="I43" s="134">
        <f t="shared" ref="I43:I52" si="14">F43+G43+H43</f>
        <v>225.38655586300001</v>
      </c>
      <c r="J43" s="135">
        <f t="shared" si="13"/>
        <v>109.523146256</v>
      </c>
      <c r="K43" s="135">
        <v>6.6641222070000001</v>
      </c>
      <c r="L43" s="135"/>
      <c r="M43" s="134">
        <f t="shared" ref="M43:M52" si="15">J43+K43+L43</f>
        <v>116.18726846300001</v>
      </c>
      <c r="N43" s="135">
        <f t="shared" ref="N43:N52" si="16">+F43-J43</f>
        <v>115.86340960700001</v>
      </c>
      <c r="O43" s="135">
        <f t="shared" ref="O43:O52" si="17">+I43-M43</f>
        <v>109.1992874</v>
      </c>
    </row>
    <row r="44" spans="2:15" ht="15" thickBot="1" x14ac:dyDescent="0.25">
      <c r="B44" s="160">
        <v>3</v>
      </c>
      <c r="C44" s="161" t="s">
        <v>337</v>
      </c>
      <c r="D44" s="162">
        <v>1200</v>
      </c>
      <c r="E44" s="136"/>
      <c r="F44" s="135">
        <f t="shared" si="12"/>
        <v>0.33214012000000004</v>
      </c>
      <c r="G44" s="135"/>
      <c r="H44" s="135"/>
      <c r="I44" s="134">
        <f t="shared" si="14"/>
        <v>0.33214012000000004</v>
      </c>
      <c r="J44" s="135">
        <f t="shared" si="13"/>
        <v>8.4305013999999984E-2</v>
      </c>
      <c r="K44" s="135">
        <v>8.4785899999999994E-3</v>
      </c>
      <c r="L44" s="135"/>
      <c r="M44" s="134">
        <f t="shared" si="15"/>
        <v>9.2783603999999978E-2</v>
      </c>
      <c r="N44" s="135">
        <f t="shared" si="16"/>
        <v>0.24783510600000005</v>
      </c>
      <c r="O44" s="135">
        <f t="shared" si="17"/>
        <v>0.23935651600000007</v>
      </c>
    </row>
    <row r="45" spans="2:15" ht="15" thickBot="1" x14ac:dyDescent="0.25">
      <c r="B45" s="160">
        <v>4</v>
      </c>
      <c r="C45" s="161" t="s">
        <v>338</v>
      </c>
      <c r="D45" s="162">
        <v>1300</v>
      </c>
      <c r="E45" s="136"/>
      <c r="F45" s="135">
        <f t="shared" si="12"/>
        <v>435.95674652799994</v>
      </c>
      <c r="G45" s="135"/>
      <c r="H45" s="135"/>
      <c r="I45" s="134">
        <f t="shared" si="14"/>
        <v>435.95674652799994</v>
      </c>
      <c r="J45" s="135">
        <f t="shared" si="13"/>
        <v>218.03863191099998</v>
      </c>
      <c r="K45" s="135">
        <v>3.7180615730000035</v>
      </c>
      <c r="L45" s="135"/>
      <c r="M45" s="134">
        <f t="shared" si="15"/>
        <v>221.75669348399998</v>
      </c>
      <c r="N45" s="135">
        <f t="shared" si="16"/>
        <v>217.91811461699996</v>
      </c>
      <c r="O45" s="135">
        <f t="shared" si="17"/>
        <v>214.20005304399996</v>
      </c>
    </row>
    <row r="46" spans="2:15" ht="15" thickBot="1" x14ac:dyDescent="0.25">
      <c r="B46" s="160">
        <v>5</v>
      </c>
      <c r="C46" s="161" t="s">
        <v>339</v>
      </c>
      <c r="D46" s="162">
        <v>1400</v>
      </c>
      <c r="E46" s="136"/>
      <c r="F46" s="135">
        <f t="shared" si="12"/>
        <v>24.9535266</v>
      </c>
      <c r="G46" s="135"/>
      <c r="H46" s="135"/>
      <c r="I46" s="134">
        <f t="shared" si="14"/>
        <v>24.9535266</v>
      </c>
      <c r="J46" s="135">
        <f t="shared" si="13"/>
        <v>13.960179406999998</v>
      </c>
      <c r="K46" s="149">
        <v>0.43394791599999999</v>
      </c>
      <c r="L46" s="135"/>
      <c r="M46" s="134">
        <f t="shared" si="15"/>
        <v>14.394127322999998</v>
      </c>
      <c r="N46" s="135">
        <f t="shared" si="16"/>
        <v>10.993347193000002</v>
      </c>
      <c r="O46" s="135">
        <f t="shared" si="17"/>
        <v>10.559399277000002</v>
      </c>
    </row>
    <row r="47" spans="2:15" ht="15" thickBot="1" x14ac:dyDescent="0.25">
      <c r="B47" s="160">
        <v>6</v>
      </c>
      <c r="C47" s="161" t="s">
        <v>340</v>
      </c>
      <c r="D47" s="162">
        <v>1500</v>
      </c>
      <c r="E47" s="136"/>
      <c r="F47" s="135">
        <f t="shared" si="12"/>
        <v>1.1438991999999999</v>
      </c>
      <c r="G47" s="135"/>
      <c r="H47" s="135"/>
      <c r="I47" s="134">
        <f t="shared" si="14"/>
        <v>1.1438991999999999</v>
      </c>
      <c r="J47" s="135">
        <f t="shared" si="13"/>
        <v>0.62202513100000001</v>
      </c>
      <c r="K47" s="149">
        <v>1.8177732000000002E-2</v>
      </c>
      <c r="L47" s="135"/>
      <c r="M47" s="134">
        <f t="shared" si="15"/>
        <v>0.64020286300000007</v>
      </c>
      <c r="N47" s="135">
        <f t="shared" si="16"/>
        <v>0.52187406899999988</v>
      </c>
      <c r="O47" s="135">
        <f t="shared" si="17"/>
        <v>0.50369633699999983</v>
      </c>
    </row>
    <row r="48" spans="2:15" ht="15" thickBot="1" x14ac:dyDescent="0.25">
      <c r="B48" s="160">
        <v>7</v>
      </c>
      <c r="C48" s="161" t="s">
        <v>341</v>
      </c>
      <c r="D48" s="162">
        <v>1600</v>
      </c>
      <c r="E48" s="136"/>
      <c r="F48" s="135">
        <f t="shared" si="12"/>
        <v>2.437117588</v>
      </c>
      <c r="G48" s="135"/>
      <c r="H48" s="135"/>
      <c r="I48" s="134">
        <f t="shared" si="14"/>
        <v>2.437117588</v>
      </c>
      <c r="J48" s="135">
        <f t="shared" si="13"/>
        <v>0.71727258599999999</v>
      </c>
      <c r="K48" s="149">
        <v>9.6269561000000003E-2</v>
      </c>
      <c r="L48" s="135"/>
      <c r="M48" s="134">
        <f t="shared" si="15"/>
        <v>0.81354214699999994</v>
      </c>
      <c r="N48" s="135">
        <f t="shared" si="16"/>
        <v>1.719845002</v>
      </c>
      <c r="O48" s="135">
        <f t="shared" si="17"/>
        <v>1.6235754410000001</v>
      </c>
    </row>
    <row r="49" spans="2:15" ht="15" thickBot="1" x14ac:dyDescent="0.25">
      <c r="B49" s="160">
        <v>8</v>
      </c>
      <c r="C49" s="161" t="s">
        <v>342</v>
      </c>
      <c r="D49" s="162">
        <v>1700</v>
      </c>
      <c r="E49" s="136"/>
      <c r="F49" s="135">
        <f t="shared" si="12"/>
        <v>0.36465002499999999</v>
      </c>
      <c r="G49" s="135"/>
      <c r="H49" s="135"/>
      <c r="I49" s="134">
        <f t="shared" si="14"/>
        <v>0.36465002499999999</v>
      </c>
      <c r="J49" s="135">
        <f t="shared" si="13"/>
        <v>0.32818502199999999</v>
      </c>
      <c r="K49" s="149">
        <v>0</v>
      </c>
      <c r="L49" s="135"/>
      <c r="M49" s="134">
        <f t="shared" si="15"/>
        <v>0.32818502199999999</v>
      </c>
      <c r="N49" s="135">
        <f t="shared" si="16"/>
        <v>3.6465002999999996E-2</v>
      </c>
      <c r="O49" s="135">
        <f t="shared" si="17"/>
        <v>3.6465002999999996E-2</v>
      </c>
    </row>
    <row r="50" spans="2:15" ht="15" thickBot="1" x14ac:dyDescent="0.25">
      <c r="B50" s="160">
        <v>9</v>
      </c>
      <c r="C50" s="161" t="s">
        <v>343</v>
      </c>
      <c r="D50" s="162">
        <v>1800</v>
      </c>
      <c r="E50" s="136"/>
      <c r="F50" s="135">
        <f t="shared" si="12"/>
        <v>0.54009041400000002</v>
      </c>
      <c r="G50" s="135"/>
      <c r="H50" s="135"/>
      <c r="I50" s="134">
        <f t="shared" si="14"/>
        <v>0.54009041400000002</v>
      </c>
      <c r="J50" s="135">
        <f t="shared" si="13"/>
        <v>0.45229543599999994</v>
      </c>
      <c r="K50" s="149">
        <v>1.7787073E-2</v>
      </c>
      <c r="L50" s="135"/>
      <c r="M50" s="134">
        <f t="shared" si="15"/>
        <v>0.47008250899999993</v>
      </c>
      <c r="N50" s="135">
        <f t="shared" si="16"/>
        <v>8.7794978000000079E-2</v>
      </c>
      <c r="O50" s="135">
        <f t="shared" si="17"/>
        <v>7.0007905000000092E-2</v>
      </c>
    </row>
    <row r="51" spans="2:15" ht="15" thickBot="1" x14ac:dyDescent="0.25">
      <c r="B51" s="160">
        <v>10</v>
      </c>
      <c r="C51" s="161" t="s">
        <v>347</v>
      </c>
      <c r="D51" s="162">
        <v>1900</v>
      </c>
      <c r="E51" s="136"/>
      <c r="F51" s="135">
        <f t="shared" si="12"/>
        <v>0.46314947500000003</v>
      </c>
      <c r="G51" s="135"/>
      <c r="H51" s="135"/>
      <c r="I51" s="134">
        <f t="shared" si="14"/>
        <v>0.46314947500000003</v>
      </c>
      <c r="J51" s="135">
        <f t="shared" si="13"/>
        <v>0.49351140799999998</v>
      </c>
      <c r="K51" s="149">
        <v>5.3503206999999997E-2</v>
      </c>
      <c r="L51" s="135"/>
      <c r="M51" s="134">
        <f t="shared" si="15"/>
        <v>0.54701461499999993</v>
      </c>
      <c r="N51" s="135">
        <f t="shared" si="16"/>
        <v>-3.0361932999999952E-2</v>
      </c>
      <c r="O51" s="135">
        <f t="shared" si="17"/>
        <v>-8.3865139999999894E-2</v>
      </c>
    </row>
    <row r="52" spans="2:15" x14ac:dyDescent="0.2">
      <c r="B52" s="160">
        <v>11</v>
      </c>
      <c r="C52" s="161" t="s">
        <v>344</v>
      </c>
      <c r="D52" s="162">
        <v>2100</v>
      </c>
      <c r="E52" s="136"/>
      <c r="F52" s="135">
        <f t="shared" si="12"/>
        <v>0.59838347199999997</v>
      </c>
      <c r="G52" s="135"/>
      <c r="H52" s="135"/>
      <c r="I52" s="134">
        <f t="shared" si="14"/>
        <v>0.59838347199999997</v>
      </c>
      <c r="J52" s="135">
        <f t="shared" si="13"/>
        <v>0.61044782899999994</v>
      </c>
      <c r="K52" s="149">
        <v>0.129652141</v>
      </c>
      <c r="L52" s="135"/>
      <c r="M52" s="134">
        <f t="shared" si="15"/>
        <v>0.74009996999999994</v>
      </c>
      <c r="N52" s="135">
        <f t="shared" si="16"/>
        <v>-1.206435699999997E-2</v>
      </c>
      <c r="O52" s="135">
        <f t="shared" si="17"/>
        <v>-0.14171649799999997</v>
      </c>
    </row>
    <row r="53" spans="2:15" ht="15.75" thickBot="1" x14ac:dyDescent="0.25">
      <c r="B53" s="66"/>
      <c r="C53" s="67" t="s">
        <v>127</v>
      </c>
      <c r="D53" s="67"/>
      <c r="E53" s="102">
        <f>IFERROR((K53-L53)/AVERAGE(F53,I53),0)</f>
        <v>1.6085945735202809E-2</v>
      </c>
      <c r="F53" s="144">
        <f>ROUND(SUM(F42:F52),2)</f>
        <v>692.53</v>
      </c>
      <c r="G53" s="144">
        <f t="shared" ref="G53:O53" si="18">ROUND(SUM(G42:G52),2)</f>
        <v>0</v>
      </c>
      <c r="H53" s="144">
        <f t="shared" si="18"/>
        <v>0</v>
      </c>
      <c r="I53" s="144">
        <f t="shared" si="18"/>
        <v>692.53</v>
      </c>
      <c r="J53" s="144">
        <f t="shared" si="18"/>
        <v>344.83</v>
      </c>
      <c r="K53" s="144">
        <f t="shared" si="18"/>
        <v>11.14</v>
      </c>
      <c r="L53" s="144">
        <f t="shared" si="18"/>
        <v>0</v>
      </c>
      <c r="M53" s="144">
        <f t="shared" si="18"/>
        <v>355.97</v>
      </c>
      <c r="N53" s="144">
        <f t="shared" si="18"/>
        <v>347.7</v>
      </c>
      <c r="O53" s="144">
        <f t="shared" si="18"/>
        <v>336.56</v>
      </c>
    </row>
  </sheetData>
  <mergeCells count="27">
    <mergeCell ref="B7:O7"/>
    <mergeCell ref="B8:B9"/>
    <mergeCell ref="C8:C9"/>
    <mergeCell ref="D8:D9"/>
    <mergeCell ref="E8:E9"/>
    <mergeCell ref="F8:I8"/>
    <mergeCell ref="F24:I24"/>
    <mergeCell ref="J24:M24"/>
    <mergeCell ref="N24:O24"/>
    <mergeCell ref="J8:M8"/>
    <mergeCell ref="N8:O8"/>
    <mergeCell ref="B3:O3"/>
    <mergeCell ref="B2:O2"/>
    <mergeCell ref="B4:O4"/>
    <mergeCell ref="B39:O39"/>
    <mergeCell ref="B40:B41"/>
    <mergeCell ref="C40:C41"/>
    <mergeCell ref="D40:D41"/>
    <mergeCell ref="E40:E41"/>
    <mergeCell ref="F40:I40"/>
    <mergeCell ref="J40:M40"/>
    <mergeCell ref="N40:O40"/>
    <mergeCell ref="B23:O23"/>
    <mergeCell ref="B24:B25"/>
    <mergeCell ref="C24:C25"/>
    <mergeCell ref="D24:D25"/>
    <mergeCell ref="E24:E25"/>
  </mergeCells>
  <pageMargins left="0.27" right="0.25" top="0.25" bottom="0.25" header="0.25" footer="0.25"/>
  <pageSetup paperSize="9" scale="86" fitToHeight="0" orientation="landscape" r:id="rId1"/>
  <headerFooter alignWithMargins="0"/>
  <rowBreaks count="1" manualBreakCount="1">
    <brk id="2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9"/>
  <sheetViews>
    <sheetView topLeftCell="A32" zoomScale="98" zoomScaleNormal="98" zoomScaleSheetLayoutView="90" workbookViewId="0">
      <selection activeCell="D31" sqref="D31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7" width="13.7109375" style="5" bestFit="1" customWidth="1"/>
    <col min="8" max="8" width="12.5703125" style="5" customWidth="1"/>
    <col min="9" max="9" width="12.140625" style="5" customWidth="1"/>
    <col min="10" max="13" width="11.7109375" style="5" bestFit="1" customWidth="1"/>
    <col min="14" max="16384" width="9.28515625" style="5"/>
  </cols>
  <sheetData>
    <row r="1" spans="2:10" ht="15" x14ac:dyDescent="0.2">
      <c r="B1" s="24"/>
    </row>
    <row r="2" spans="2:10" ht="15" x14ac:dyDescent="0.2">
      <c r="E2" s="32" t="s">
        <v>305</v>
      </c>
    </row>
    <row r="3" spans="2:10" ht="15" x14ac:dyDescent="0.2">
      <c r="E3" s="32" t="str">
        <f>'F1'!$B$3</f>
        <v>Priyadarshini Jurala HES</v>
      </c>
    </row>
    <row r="4" spans="2:10" ht="15" x14ac:dyDescent="0.2">
      <c r="E4" s="35" t="s">
        <v>246</v>
      </c>
    </row>
    <row r="5" spans="2:10" ht="15" x14ac:dyDescent="0.2">
      <c r="B5" s="33" t="s">
        <v>45</v>
      </c>
      <c r="C5" s="24" t="s">
        <v>247</v>
      </c>
      <c r="J5" s="26" t="s">
        <v>4</v>
      </c>
    </row>
    <row r="6" spans="2:10" s="13" customFormat="1" ht="15" customHeight="1" x14ac:dyDescent="0.2">
      <c r="B6" s="221" t="s">
        <v>169</v>
      </c>
      <c r="C6" s="224" t="s">
        <v>18</v>
      </c>
      <c r="D6" s="228" t="s">
        <v>306</v>
      </c>
      <c r="E6" s="229"/>
      <c r="F6" s="230"/>
      <c r="G6" s="226" t="s">
        <v>307</v>
      </c>
      <c r="H6" s="226"/>
      <c r="I6" s="248" t="s">
        <v>332</v>
      </c>
      <c r="J6" s="249"/>
    </row>
    <row r="7" spans="2:10" s="13" customFormat="1" ht="45" x14ac:dyDescent="0.2">
      <c r="B7" s="222"/>
      <c r="C7" s="224"/>
      <c r="D7" s="15" t="s">
        <v>278</v>
      </c>
      <c r="E7" s="15" t="s">
        <v>212</v>
      </c>
      <c r="F7" s="15" t="s">
        <v>183</v>
      </c>
      <c r="G7" s="15" t="s">
        <v>278</v>
      </c>
      <c r="H7" s="15" t="s">
        <v>211</v>
      </c>
      <c r="I7" s="15" t="s">
        <v>278</v>
      </c>
      <c r="J7" s="15" t="s">
        <v>211</v>
      </c>
    </row>
    <row r="8" spans="2:10" s="13" customFormat="1" ht="30" x14ac:dyDescent="0.2">
      <c r="B8" s="223"/>
      <c r="C8" s="225"/>
      <c r="D8" s="15" t="s">
        <v>10</v>
      </c>
      <c r="E8" s="15" t="s">
        <v>12</v>
      </c>
      <c r="F8" s="15" t="s">
        <v>203</v>
      </c>
      <c r="G8" s="15" t="s">
        <v>10</v>
      </c>
      <c r="H8" s="15" t="s">
        <v>328</v>
      </c>
      <c r="I8" s="15" t="s">
        <v>10</v>
      </c>
      <c r="J8" s="15" t="s">
        <v>328</v>
      </c>
    </row>
    <row r="9" spans="2:10" x14ac:dyDescent="0.2">
      <c r="B9" s="61">
        <v>1</v>
      </c>
      <c r="C9" s="27" t="s">
        <v>153</v>
      </c>
      <c r="D9" s="113"/>
      <c r="E9" s="111">
        <f>'F4'!F21*70%</f>
        <v>484.74999999999994</v>
      </c>
      <c r="F9" s="111">
        <f>E9</f>
        <v>484.74999999999994</v>
      </c>
      <c r="G9" s="115"/>
      <c r="H9" s="116">
        <f>E9+E13</f>
        <v>484.77249999999992</v>
      </c>
      <c r="I9" s="115"/>
      <c r="J9" s="116">
        <f>H9+H13</f>
        <v>484.77249999999992</v>
      </c>
    </row>
    <row r="10" spans="2:10" x14ac:dyDescent="0.2">
      <c r="B10" s="20">
        <f>B9+1</f>
        <v>2</v>
      </c>
      <c r="C10" s="27" t="s">
        <v>154</v>
      </c>
      <c r="D10" s="113"/>
      <c r="E10" s="111">
        <f>'F4'!J21</f>
        <v>322.55</v>
      </c>
      <c r="F10" s="111">
        <f>E10</f>
        <v>322.55</v>
      </c>
      <c r="G10" s="116"/>
      <c r="H10" s="116">
        <f>F10+F14</f>
        <v>333.69</v>
      </c>
      <c r="I10" s="115"/>
      <c r="J10" s="116">
        <f>H10+H14</f>
        <v>344.83</v>
      </c>
    </row>
    <row r="11" spans="2:10" ht="15" x14ac:dyDescent="0.2">
      <c r="B11" s="20">
        <f t="shared" ref="B11:B21" si="0">B10+1</f>
        <v>3</v>
      </c>
      <c r="C11" s="29" t="s">
        <v>155</v>
      </c>
      <c r="D11" s="118">
        <f>D9-D10</f>
        <v>0</v>
      </c>
      <c r="E11" s="118">
        <f>IF((E9-E10)&lt;0,0,(E9-E10))</f>
        <v>162.19999999999993</v>
      </c>
      <c r="F11" s="118">
        <f>IF((F9-F10)&lt;0,0,(F9-F10))</f>
        <v>162.19999999999993</v>
      </c>
      <c r="G11" s="118">
        <f>IF((G9-G10)&lt;0,0,(G9-G10))</f>
        <v>0</v>
      </c>
      <c r="H11" s="118">
        <f>IF((H9-H10)&lt;0,0,(H9-H10))</f>
        <v>151.08249999999992</v>
      </c>
      <c r="I11" s="118"/>
      <c r="J11" s="118">
        <f>IF((J9-J10)&lt;0,0,(J9-J10))</f>
        <v>139.94249999999994</v>
      </c>
    </row>
    <row r="12" spans="2:10" ht="28.5" x14ac:dyDescent="0.2">
      <c r="B12" s="20">
        <f t="shared" si="0"/>
        <v>4</v>
      </c>
      <c r="C12" s="69" t="s">
        <v>156</v>
      </c>
      <c r="D12" s="125"/>
      <c r="E12" s="125"/>
      <c r="F12" s="125"/>
      <c r="G12" s="125"/>
      <c r="H12" s="125"/>
      <c r="I12" s="125"/>
      <c r="J12" s="125"/>
    </row>
    <row r="13" spans="2:10" s="32" customFormat="1" ht="28.5" x14ac:dyDescent="0.2">
      <c r="B13" s="20">
        <f t="shared" si="0"/>
        <v>5</v>
      </c>
      <c r="C13" s="37" t="s">
        <v>302</v>
      </c>
      <c r="D13" s="125"/>
      <c r="E13" s="111">
        <f>'F3'!E12*75%</f>
        <v>2.2499999999999999E-2</v>
      </c>
      <c r="F13" s="111">
        <f>'F3'!F12*75%</f>
        <v>2.2499999999999999E-2</v>
      </c>
      <c r="G13" s="111">
        <f>'F3'!G12*75%</f>
        <v>0</v>
      </c>
      <c r="H13" s="111">
        <f>'F3'!H12*75%</f>
        <v>0</v>
      </c>
      <c r="I13" s="111">
        <f>'F3'!I12*75%</f>
        <v>0</v>
      </c>
      <c r="J13" s="111">
        <f>'F3'!J12*75%</f>
        <v>0</v>
      </c>
    </row>
    <row r="14" spans="2:10" x14ac:dyDescent="0.2">
      <c r="B14" s="20">
        <f t="shared" si="0"/>
        <v>6</v>
      </c>
      <c r="C14" s="69" t="s">
        <v>161</v>
      </c>
      <c r="D14" s="207"/>
      <c r="E14" s="207">
        <f>'F1'!G11</f>
        <v>11.14</v>
      </c>
      <c r="F14" s="207">
        <f>'F1'!H11</f>
        <v>11.14</v>
      </c>
      <c r="G14" s="207">
        <f>'F1'!I11</f>
        <v>14.08</v>
      </c>
      <c r="H14" s="207">
        <f>'F1'!J11</f>
        <v>11.14</v>
      </c>
      <c r="I14" s="207">
        <f>'F1'!K11</f>
        <v>11.16</v>
      </c>
      <c r="J14" s="207">
        <f>'F1'!L11</f>
        <v>11.14</v>
      </c>
    </row>
    <row r="15" spans="2:10" ht="15" x14ac:dyDescent="0.2">
      <c r="B15" s="20">
        <f t="shared" si="0"/>
        <v>7</v>
      </c>
      <c r="C15" s="27" t="s">
        <v>157</v>
      </c>
      <c r="D15" s="118"/>
      <c r="E15" s="118">
        <f>IF((E11-E12+E13-E14)&lt;0,0,(E11-E12+E13-E14))</f>
        <v>151.08249999999992</v>
      </c>
      <c r="F15" s="118">
        <f>IF((F11-F12+F13-F14)&lt;0,0,(F11-F12+F13-F14))</f>
        <v>151.08249999999992</v>
      </c>
      <c r="G15" s="118"/>
      <c r="H15" s="118">
        <f>IF((H11-H12+H13-H14)&lt;0,0,(H11-H12+H13-H14))</f>
        <v>139.94249999999994</v>
      </c>
      <c r="I15" s="118"/>
      <c r="J15" s="118">
        <f>IF((J11-J12+J13-J14)&lt;0,0,(J11-J12+J13-J14))</f>
        <v>128.80249999999995</v>
      </c>
    </row>
    <row r="16" spans="2:10" ht="15" x14ac:dyDescent="0.2">
      <c r="B16" s="20">
        <f t="shared" si="0"/>
        <v>8</v>
      </c>
      <c r="C16" s="27" t="s">
        <v>158</v>
      </c>
      <c r="D16" s="118"/>
      <c r="E16" s="118">
        <f t="shared" ref="E16:J16" si="1">E9-E12+E13-E14</f>
        <v>473.63249999999994</v>
      </c>
      <c r="F16" s="118">
        <f t="shared" si="1"/>
        <v>473.63249999999994</v>
      </c>
      <c r="G16" s="118"/>
      <c r="H16" s="118">
        <f t="shared" si="1"/>
        <v>473.63249999999994</v>
      </c>
      <c r="I16" s="118"/>
      <c r="J16" s="118">
        <f t="shared" si="1"/>
        <v>473.63249999999994</v>
      </c>
    </row>
    <row r="17" spans="2:10" ht="15" x14ac:dyDescent="0.2">
      <c r="B17" s="20">
        <f t="shared" si="0"/>
        <v>9</v>
      </c>
      <c r="C17" s="27" t="s">
        <v>187</v>
      </c>
      <c r="D17" s="118"/>
      <c r="E17" s="118">
        <f t="shared" ref="E17:J17" si="2">AVERAGE(E11,E15)</f>
        <v>156.64124999999993</v>
      </c>
      <c r="F17" s="118">
        <f t="shared" si="2"/>
        <v>156.64124999999993</v>
      </c>
      <c r="G17" s="118"/>
      <c r="H17" s="118">
        <f t="shared" si="2"/>
        <v>145.51249999999993</v>
      </c>
      <c r="I17" s="118"/>
      <c r="J17" s="118">
        <f t="shared" si="2"/>
        <v>134.37249999999995</v>
      </c>
    </row>
    <row r="18" spans="2:10" x14ac:dyDescent="0.2">
      <c r="B18" s="20">
        <f t="shared" si="0"/>
        <v>10</v>
      </c>
      <c r="C18" s="69" t="s">
        <v>186</v>
      </c>
      <c r="D18" s="208"/>
      <c r="E18" s="208">
        <v>9.9500000000000005E-2</v>
      </c>
      <c r="F18" s="208">
        <f>E18</f>
        <v>9.9500000000000005E-2</v>
      </c>
      <c r="G18" s="208"/>
      <c r="H18" s="208">
        <v>9.9500000000000005E-2</v>
      </c>
      <c r="I18" s="208"/>
      <c r="J18" s="208">
        <v>9.9500000000000005E-2</v>
      </c>
    </row>
    <row r="19" spans="2:10" ht="15" x14ac:dyDescent="0.2">
      <c r="B19" s="20">
        <f t="shared" si="0"/>
        <v>11</v>
      </c>
      <c r="C19" s="27" t="s">
        <v>248</v>
      </c>
      <c r="D19" s="118">
        <f>D17*D18</f>
        <v>0</v>
      </c>
      <c r="E19" s="118">
        <f>ROUND(E17*E18,2)</f>
        <v>15.59</v>
      </c>
      <c r="F19" s="118">
        <f>ROUND(F17*F18,2)</f>
        <v>15.59</v>
      </c>
      <c r="G19" s="118">
        <f>G17*G18</f>
        <v>0</v>
      </c>
      <c r="H19" s="118">
        <f>ROUND(H17*H18,2)</f>
        <v>14.48</v>
      </c>
      <c r="I19" s="118"/>
      <c r="J19" s="118">
        <f>ROUND(J17*J18,2)</f>
        <v>13.37</v>
      </c>
    </row>
    <row r="20" spans="2:10" x14ac:dyDescent="0.2">
      <c r="B20" s="20">
        <f t="shared" si="0"/>
        <v>12</v>
      </c>
      <c r="C20" s="27" t="s">
        <v>250</v>
      </c>
      <c r="D20" s="117"/>
      <c r="E20" s="117"/>
      <c r="F20" s="117"/>
      <c r="G20" s="117"/>
      <c r="H20" s="117"/>
      <c r="I20" s="117"/>
      <c r="J20" s="117"/>
    </row>
    <row r="21" spans="2:10" ht="15" x14ac:dyDescent="0.2">
      <c r="B21" s="20">
        <f t="shared" si="0"/>
        <v>13</v>
      </c>
      <c r="C21" s="27" t="s">
        <v>251</v>
      </c>
      <c r="D21" s="118">
        <v>11.1</v>
      </c>
      <c r="E21" s="118">
        <f>IF((E19+E20)&lt;0,0,(E19+E20))</f>
        <v>15.59</v>
      </c>
      <c r="F21" s="118">
        <f>IF((F19+F20)&lt;0,0,(F19+F20))</f>
        <v>15.59</v>
      </c>
      <c r="G21" s="118">
        <v>8.69</v>
      </c>
      <c r="H21" s="118">
        <f>IF((H19+H20)&lt;0,0,(H19+H20))</f>
        <v>14.48</v>
      </c>
      <c r="I21" s="118">
        <v>6.28</v>
      </c>
      <c r="J21" s="118">
        <f>IF((J19+J20)&lt;0,0,(J19+J20))</f>
        <v>13.37</v>
      </c>
    </row>
    <row r="22" spans="2:10" x14ac:dyDescent="0.2">
      <c r="B22" s="34"/>
      <c r="C22" s="5" t="s">
        <v>214</v>
      </c>
    </row>
    <row r="23" spans="2:10" x14ac:dyDescent="0.2">
      <c r="C23" s="5" t="s">
        <v>303</v>
      </c>
    </row>
    <row r="25" spans="2:10" ht="15" x14ac:dyDescent="0.2">
      <c r="B25" s="33" t="s">
        <v>50</v>
      </c>
      <c r="C25" s="24" t="s">
        <v>249</v>
      </c>
    </row>
    <row r="27" spans="2:10" ht="15" customHeight="1" x14ac:dyDescent="0.2">
      <c r="B27" s="221" t="s">
        <v>169</v>
      </c>
      <c r="C27" s="224" t="s">
        <v>18</v>
      </c>
      <c r="D27" s="181" t="s">
        <v>306</v>
      </c>
      <c r="E27" s="15" t="s">
        <v>307</v>
      </c>
      <c r="F27" s="15" t="s">
        <v>332</v>
      </c>
    </row>
    <row r="28" spans="2:10" ht="15" x14ac:dyDescent="0.2">
      <c r="B28" s="222"/>
      <c r="C28" s="224"/>
      <c r="D28" s="15" t="s">
        <v>212</v>
      </c>
      <c r="E28" s="15" t="s">
        <v>211</v>
      </c>
      <c r="F28" s="15" t="s">
        <v>211</v>
      </c>
    </row>
    <row r="29" spans="2:10" ht="15" x14ac:dyDescent="0.2">
      <c r="B29" s="223"/>
      <c r="C29" s="225"/>
      <c r="D29" s="15" t="s">
        <v>12</v>
      </c>
      <c r="E29" s="15" t="s">
        <v>5</v>
      </c>
      <c r="F29" s="15" t="s">
        <v>8</v>
      </c>
    </row>
    <row r="30" spans="2:10" ht="15" x14ac:dyDescent="0.2">
      <c r="B30" s="20">
        <v>1</v>
      </c>
      <c r="C30" s="169" t="s">
        <v>353</v>
      </c>
      <c r="D30" s="27"/>
      <c r="E30" s="27"/>
      <c r="F30" s="27"/>
    </row>
    <row r="31" spans="2:10" x14ac:dyDescent="0.2">
      <c r="B31" s="27"/>
      <c r="C31" s="27" t="s">
        <v>13</v>
      </c>
      <c r="D31" s="182">
        <v>2.34</v>
      </c>
      <c r="E31" s="183">
        <v>0</v>
      </c>
      <c r="F31" s="183">
        <v>0</v>
      </c>
    </row>
    <row r="32" spans="2:10" x14ac:dyDescent="0.2">
      <c r="B32" s="27"/>
      <c r="C32" s="27" t="s">
        <v>149</v>
      </c>
      <c r="D32" s="182">
        <v>0</v>
      </c>
      <c r="E32" s="183">
        <v>0</v>
      </c>
      <c r="F32" s="183">
        <v>0</v>
      </c>
    </row>
    <row r="33" spans="2:6" x14ac:dyDescent="0.2">
      <c r="B33" s="27"/>
      <c r="C33" s="27" t="s">
        <v>14</v>
      </c>
      <c r="D33" s="182">
        <v>2.34</v>
      </c>
      <c r="E33" s="183">
        <v>0</v>
      </c>
      <c r="F33" s="183">
        <v>0</v>
      </c>
    </row>
    <row r="34" spans="2:6" ht="15" x14ac:dyDescent="0.2">
      <c r="B34" s="27"/>
      <c r="C34" s="27" t="s">
        <v>15</v>
      </c>
      <c r="D34" s="99">
        <f>D31+D32-D33</f>
        <v>0</v>
      </c>
      <c r="E34" s="99">
        <f>E31+E32-E33</f>
        <v>0</v>
      </c>
      <c r="F34" s="99">
        <f>F31+F32-F33</f>
        <v>0</v>
      </c>
    </row>
    <row r="35" spans="2:6" ht="15" x14ac:dyDescent="0.2">
      <c r="B35" s="27"/>
      <c r="C35" s="27" t="s">
        <v>188</v>
      </c>
      <c r="D35" s="182">
        <v>0.09</v>
      </c>
      <c r="E35" s="99">
        <f>AVERAGE(E31,E34)</f>
        <v>0</v>
      </c>
      <c r="F35" s="99">
        <f>AVERAGE(F31,F34)</f>
        <v>0</v>
      </c>
    </row>
    <row r="36" spans="2:6" x14ac:dyDescent="0.2">
      <c r="B36" s="27"/>
      <c r="C36" s="27" t="s">
        <v>16</v>
      </c>
      <c r="D36" s="182">
        <v>9.9499999999999993</v>
      </c>
      <c r="E36" s="105"/>
      <c r="F36" s="105"/>
    </row>
    <row r="37" spans="2:6" ht="15" x14ac:dyDescent="0.2">
      <c r="B37" s="27"/>
      <c r="C37" s="27" t="s">
        <v>248</v>
      </c>
      <c r="D37" s="182">
        <v>0.01</v>
      </c>
      <c r="E37" s="99">
        <f>E35*E36</f>
        <v>0</v>
      </c>
      <c r="F37" s="99">
        <f>F35*F36</f>
        <v>0</v>
      </c>
    </row>
    <row r="38" spans="2:6" x14ac:dyDescent="0.2">
      <c r="B38" s="27"/>
      <c r="C38" s="27" t="s">
        <v>250</v>
      </c>
      <c r="D38" s="182">
        <v>0</v>
      </c>
      <c r="E38" s="106"/>
      <c r="F38" s="106"/>
    </row>
    <row r="39" spans="2:6" ht="15" x14ac:dyDescent="0.2">
      <c r="B39" s="27"/>
      <c r="C39" s="27" t="s">
        <v>251</v>
      </c>
      <c r="D39" s="99">
        <f>D37+D38</f>
        <v>0.01</v>
      </c>
      <c r="E39" s="99">
        <f>E37+E38</f>
        <v>0</v>
      </c>
      <c r="F39" s="99">
        <f>F37+F38</f>
        <v>0</v>
      </c>
    </row>
    <row r="40" spans="2:6" ht="15" x14ac:dyDescent="0.2">
      <c r="B40" s="20"/>
      <c r="C40" s="38" t="s">
        <v>127</v>
      </c>
      <c r="D40" s="106"/>
      <c r="E40" s="106"/>
      <c r="F40" s="106"/>
    </row>
    <row r="41" spans="2:6" ht="15" x14ac:dyDescent="0.2">
      <c r="B41" s="27"/>
      <c r="C41" s="27" t="s">
        <v>13</v>
      </c>
      <c r="D41" s="99">
        <f>D31</f>
        <v>2.34</v>
      </c>
      <c r="E41" s="99">
        <f t="shared" ref="E41:F41" si="3">E31</f>
        <v>0</v>
      </c>
      <c r="F41" s="99">
        <f t="shared" si="3"/>
        <v>0</v>
      </c>
    </row>
    <row r="42" spans="2:6" ht="15" x14ac:dyDescent="0.2">
      <c r="B42" s="27"/>
      <c r="C42" s="27" t="s">
        <v>149</v>
      </c>
      <c r="D42" s="99">
        <f t="shared" ref="D42:F42" si="4">D32</f>
        <v>0</v>
      </c>
      <c r="E42" s="99">
        <f t="shared" si="4"/>
        <v>0</v>
      </c>
      <c r="F42" s="99">
        <f t="shared" si="4"/>
        <v>0</v>
      </c>
    </row>
    <row r="43" spans="2:6" ht="15" x14ac:dyDescent="0.2">
      <c r="B43" s="27"/>
      <c r="C43" s="27" t="s">
        <v>14</v>
      </c>
      <c r="D43" s="99">
        <f t="shared" ref="D43:F43" si="5">D33</f>
        <v>2.34</v>
      </c>
      <c r="E43" s="99">
        <f t="shared" si="5"/>
        <v>0</v>
      </c>
      <c r="F43" s="99">
        <f t="shared" si="5"/>
        <v>0</v>
      </c>
    </row>
    <row r="44" spans="2:6" ht="15" x14ac:dyDescent="0.2">
      <c r="B44" s="27"/>
      <c r="C44" s="27" t="s">
        <v>15</v>
      </c>
      <c r="D44" s="99">
        <f>D41+D42-D43</f>
        <v>0</v>
      </c>
      <c r="E44" s="99">
        <f t="shared" ref="E44:F44" si="6">E41+E42-E43</f>
        <v>0</v>
      </c>
      <c r="F44" s="99">
        <f t="shared" si="6"/>
        <v>0</v>
      </c>
    </row>
    <row r="45" spans="2:6" ht="15" x14ac:dyDescent="0.2">
      <c r="B45" s="27"/>
      <c r="C45" s="27" t="s">
        <v>188</v>
      </c>
      <c r="D45" s="99">
        <f>D35</f>
        <v>0.09</v>
      </c>
      <c r="E45" s="99">
        <f>AVERAGE(E41,E44)</f>
        <v>0</v>
      </c>
      <c r="F45" s="99">
        <f>AVERAGE(F41,F44)</f>
        <v>0</v>
      </c>
    </row>
    <row r="46" spans="2:6" ht="15" x14ac:dyDescent="0.2">
      <c r="B46" s="27"/>
      <c r="C46" s="27" t="s">
        <v>16</v>
      </c>
      <c r="D46" s="99">
        <f>D36</f>
        <v>9.9499999999999993</v>
      </c>
      <c r="E46" s="119">
        <f>IFERROR(E47/E45,0)</f>
        <v>0</v>
      </c>
      <c r="F46" s="119">
        <f>IFERROR(F47/F45,0)</f>
        <v>0</v>
      </c>
    </row>
    <row r="47" spans="2:6" ht="15" x14ac:dyDescent="0.2">
      <c r="B47" s="27"/>
      <c r="C47" s="27" t="s">
        <v>248</v>
      </c>
      <c r="D47" s="99">
        <f>D37</f>
        <v>0.01</v>
      </c>
      <c r="E47" s="99">
        <f t="shared" ref="E47:F47" si="7">E37</f>
        <v>0</v>
      </c>
      <c r="F47" s="99">
        <f t="shared" si="7"/>
        <v>0</v>
      </c>
    </row>
    <row r="48" spans="2:6" ht="15" x14ac:dyDescent="0.2">
      <c r="B48" s="27"/>
      <c r="C48" s="27" t="s">
        <v>250</v>
      </c>
      <c r="D48" s="99">
        <f>D38</f>
        <v>0</v>
      </c>
      <c r="E48" s="99">
        <f>E38</f>
        <v>0</v>
      </c>
      <c r="F48" s="99">
        <f>F38</f>
        <v>0</v>
      </c>
    </row>
    <row r="49" spans="2:6" ht="15" x14ac:dyDescent="0.2">
      <c r="B49" s="27"/>
      <c r="C49" s="27" t="s">
        <v>251</v>
      </c>
      <c r="D49" s="99">
        <f>D47</f>
        <v>0.01</v>
      </c>
      <c r="E49" s="99">
        <f>E47+E48</f>
        <v>0</v>
      </c>
      <c r="F49" s="99">
        <f>F47+F48</f>
        <v>0</v>
      </c>
    </row>
  </sheetData>
  <mergeCells count="7">
    <mergeCell ref="B27:B29"/>
    <mergeCell ref="C27:C29"/>
    <mergeCell ref="I6:J6"/>
    <mergeCell ref="B6:B8"/>
    <mergeCell ref="C6:C8"/>
    <mergeCell ref="D6:F6"/>
    <mergeCell ref="G6:H6"/>
  </mergeCells>
  <pageMargins left="0.27559055118110237" right="0.23622047244094491" top="0.23622047244094491" bottom="0.23622047244094491" header="0.23622047244094491" footer="0.23622047244094491"/>
  <pageSetup paperSize="9" scale="93" fitToHeight="0" orientation="landscape" r:id="rId1"/>
  <headerFooter alignWithMargins="0"/>
  <rowBreaks count="1" manualBreakCount="1">
    <brk id="24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2"/>
  <sheetViews>
    <sheetView showGridLines="0" topLeftCell="B1" zoomScale="95" zoomScaleNormal="95" zoomScaleSheetLayoutView="90" workbookViewId="0">
      <selection activeCell="J14" sqref="J14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4.42578125" style="5" customWidth="1"/>
    <col min="7" max="7" width="13.7109375" style="5" bestFit="1" customWidth="1"/>
    <col min="8" max="9" width="12.5703125" style="5" customWidth="1"/>
    <col min="10" max="10" width="14.42578125" style="5" bestFit="1" customWidth="1"/>
    <col min="11" max="13" width="11.7109375" style="5" bestFit="1" customWidth="1"/>
    <col min="14" max="16384" width="9.28515625" style="5"/>
  </cols>
  <sheetData>
    <row r="1" spans="2:12" ht="15" x14ac:dyDescent="0.2">
      <c r="B1" s="24"/>
    </row>
    <row r="2" spans="2:12" ht="15" x14ac:dyDescent="0.2">
      <c r="E2" s="32" t="s">
        <v>305</v>
      </c>
    </row>
    <row r="3" spans="2:12" ht="15" x14ac:dyDescent="0.2">
      <c r="E3" s="32" t="str">
        <f>'F1'!$B$3</f>
        <v>Priyadarshini Jurala HES</v>
      </c>
    </row>
    <row r="4" spans="2:12" ht="15" x14ac:dyDescent="0.2">
      <c r="E4" s="35" t="s">
        <v>252</v>
      </c>
    </row>
    <row r="5" spans="2:12" ht="15" x14ac:dyDescent="0.2">
      <c r="J5" s="26" t="s">
        <v>4</v>
      </c>
    </row>
    <row r="6" spans="2:12" s="13" customFormat="1" ht="15" customHeight="1" x14ac:dyDescent="0.2">
      <c r="B6" s="221" t="s">
        <v>169</v>
      </c>
      <c r="C6" s="224" t="s">
        <v>18</v>
      </c>
      <c r="D6" s="228" t="s">
        <v>306</v>
      </c>
      <c r="E6" s="229"/>
      <c r="F6" s="230"/>
      <c r="G6" s="228" t="s">
        <v>307</v>
      </c>
      <c r="H6" s="230"/>
      <c r="I6" s="228" t="s">
        <v>332</v>
      </c>
      <c r="J6" s="230"/>
    </row>
    <row r="7" spans="2:12" s="13" customFormat="1" ht="30" x14ac:dyDescent="0.2">
      <c r="B7" s="222"/>
      <c r="C7" s="224"/>
      <c r="D7" s="15" t="s">
        <v>278</v>
      </c>
      <c r="E7" s="15" t="s">
        <v>212</v>
      </c>
      <c r="F7" s="15" t="s">
        <v>183</v>
      </c>
      <c r="G7" s="15" t="s">
        <v>278</v>
      </c>
      <c r="H7" s="15" t="s">
        <v>211</v>
      </c>
      <c r="I7" s="15" t="s">
        <v>278</v>
      </c>
      <c r="J7" s="15" t="s">
        <v>201</v>
      </c>
    </row>
    <row r="8" spans="2:12" s="13" customFormat="1" ht="30" x14ac:dyDescent="0.2">
      <c r="B8" s="223"/>
      <c r="C8" s="225"/>
      <c r="D8" s="15" t="s">
        <v>10</v>
      </c>
      <c r="E8" s="15" t="s">
        <v>12</v>
      </c>
      <c r="F8" s="15" t="s">
        <v>203</v>
      </c>
      <c r="G8" s="15" t="s">
        <v>10</v>
      </c>
      <c r="H8" s="15" t="s">
        <v>328</v>
      </c>
      <c r="I8" s="15" t="s">
        <v>10</v>
      </c>
      <c r="J8" s="15" t="s">
        <v>328</v>
      </c>
    </row>
    <row r="9" spans="2:12" x14ac:dyDescent="0.2">
      <c r="B9" s="61">
        <v>1</v>
      </c>
      <c r="C9" s="27" t="s">
        <v>253</v>
      </c>
      <c r="D9" s="2"/>
      <c r="E9" s="106"/>
      <c r="F9" s="111"/>
      <c r="G9" s="116"/>
      <c r="H9" s="116"/>
      <c r="I9" s="116"/>
      <c r="J9" s="116"/>
    </row>
    <row r="10" spans="2:12" x14ac:dyDescent="0.2">
      <c r="B10" s="20">
        <f>B9+1</f>
        <v>2</v>
      </c>
      <c r="C10" s="27" t="s">
        <v>254</v>
      </c>
      <c r="D10" s="2"/>
      <c r="E10" s="106"/>
      <c r="F10" s="111"/>
      <c r="G10" s="116"/>
      <c r="H10" s="116"/>
      <c r="I10" s="116"/>
      <c r="J10" s="116"/>
    </row>
    <row r="11" spans="2:12" x14ac:dyDescent="0.2">
      <c r="B11" s="20">
        <f t="shared" ref="B11:B19" si="0">B10+1</f>
        <v>3</v>
      </c>
      <c r="C11" s="29" t="s">
        <v>255</v>
      </c>
      <c r="D11" s="2"/>
      <c r="E11" s="106"/>
      <c r="F11" s="111"/>
      <c r="G11" s="116"/>
      <c r="H11" s="116"/>
      <c r="I11" s="116"/>
      <c r="J11" s="116"/>
    </row>
    <row r="12" spans="2:12" x14ac:dyDescent="0.2">
      <c r="B12" s="20">
        <f t="shared" si="0"/>
        <v>4</v>
      </c>
      <c r="C12" s="69" t="s">
        <v>256</v>
      </c>
      <c r="D12" s="104"/>
      <c r="E12" s="104">
        <f>'F2'!F14/12</f>
        <v>4.4675000000000002</v>
      </c>
      <c r="F12" s="125">
        <f>'F2'!G14/12</f>
        <v>4.4675000000000002</v>
      </c>
      <c r="G12" s="125"/>
      <c r="H12" s="125">
        <f>'F2'!I14/12</f>
        <v>5.2383333333333333</v>
      </c>
      <c r="I12" s="125"/>
      <c r="J12" s="125">
        <f>'F2'!K14/12</f>
        <v>5.4691666666666663</v>
      </c>
    </row>
    <row r="13" spans="2:12" s="32" customFormat="1" ht="15" x14ac:dyDescent="0.2">
      <c r="B13" s="20">
        <f t="shared" si="0"/>
        <v>5</v>
      </c>
      <c r="C13" s="37" t="s">
        <v>257</v>
      </c>
      <c r="D13" s="70"/>
      <c r="E13" s="111">
        <f>'F4'!F21*1%</f>
        <v>6.9249999999999998</v>
      </c>
      <c r="F13" s="111">
        <f>E13</f>
        <v>6.9249999999999998</v>
      </c>
      <c r="G13" s="111"/>
      <c r="H13" s="111">
        <f>'F4'!F37*1%</f>
        <v>6.9253</v>
      </c>
      <c r="I13" s="111"/>
      <c r="J13" s="111">
        <f>'F4'!F37*1%</f>
        <v>6.9253</v>
      </c>
    </row>
    <row r="14" spans="2:12" x14ac:dyDescent="0.2">
      <c r="B14" s="20">
        <f t="shared" si="0"/>
        <v>6</v>
      </c>
      <c r="C14" s="69" t="s">
        <v>299</v>
      </c>
      <c r="D14" s="104"/>
      <c r="E14" s="104">
        <f ca="1">'F1'!G16*45/365</f>
        <v>15.516986301369862</v>
      </c>
      <c r="F14" s="104">
        <f ca="1">'F1'!H16*45/365</f>
        <v>15.516986301369862</v>
      </c>
      <c r="G14" s="104"/>
      <c r="H14" s="104">
        <f ca="1">'F1'!J16*45/365</f>
        <v>16.41205479452055</v>
      </c>
      <c r="I14" s="104"/>
      <c r="J14" s="104">
        <f ca="1">'F1'!L16*45/365</f>
        <v>16.614246575342467</v>
      </c>
      <c r="K14" s="151"/>
    </row>
    <row r="15" spans="2:12" x14ac:dyDescent="0.2">
      <c r="B15" s="20"/>
      <c r="C15" s="69" t="s">
        <v>258</v>
      </c>
      <c r="D15" s="70"/>
      <c r="E15" s="29"/>
      <c r="F15" s="3"/>
      <c r="G15" s="29"/>
      <c r="H15" s="29"/>
      <c r="I15" s="29"/>
      <c r="J15" s="29"/>
    </row>
    <row r="16" spans="2:12" x14ac:dyDescent="0.2">
      <c r="B16" s="20">
        <f>B14+1</f>
        <v>7</v>
      </c>
      <c r="C16" s="27" t="s">
        <v>300</v>
      </c>
      <c r="D16" s="104"/>
      <c r="E16" s="104"/>
      <c r="F16" s="104"/>
      <c r="G16" s="104"/>
      <c r="H16" s="104"/>
      <c r="I16" s="104"/>
      <c r="J16" s="104"/>
      <c r="L16" s="151"/>
    </row>
    <row r="17" spans="2:10" ht="15" x14ac:dyDescent="0.2">
      <c r="B17" s="20">
        <f t="shared" si="0"/>
        <v>8</v>
      </c>
      <c r="C17" s="27" t="s">
        <v>44</v>
      </c>
      <c r="D17" s="101">
        <f>SUM(D9:D14)-D16</f>
        <v>0</v>
      </c>
      <c r="E17" s="101">
        <f t="shared" ref="E17:J17" ca="1" si="1">SUM(E9:E14)-E16</f>
        <v>26.90948630136986</v>
      </c>
      <c r="F17" s="101">
        <f t="shared" ca="1" si="1"/>
        <v>26.90948630136986</v>
      </c>
      <c r="G17" s="101">
        <f t="shared" si="1"/>
        <v>0</v>
      </c>
      <c r="H17" s="101">
        <f t="shared" ca="1" si="1"/>
        <v>28.575688127853883</v>
      </c>
      <c r="I17" s="101">
        <f t="shared" si="1"/>
        <v>0</v>
      </c>
      <c r="J17" s="101">
        <f t="shared" ca="1" si="1"/>
        <v>29.008713242009133</v>
      </c>
    </row>
    <row r="18" spans="2:10" x14ac:dyDescent="0.2">
      <c r="B18" s="20">
        <f t="shared" si="0"/>
        <v>9</v>
      </c>
      <c r="C18" s="27" t="s">
        <v>259</v>
      </c>
      <c r="D18" s="103"/>
      <c r="E18" s="103">
        <v>0.1041</v>
      </c>
      <c r="F18" s="103">
        <f>E18</f>
        <v>0.1041</v>
      </c>
      <c r="G18" s="103">
        <v>0.10249999999999999</v>
      </c>
      <c r="H18" s="103">
        <v>0.10249999999999999</v>
      </c>
      <c r="I18" s="103"/>
      <c r="J18" s="103">
        <v>0.10249999999999999</v>
      </c>
    </row>
    <row r="19" spans="2:10" ht="15" x14ac:dyDescent="0.2">
      <c r="B19" s="20">
        <f t="shared" si="0"/>
        <v>10</v>
      </c>
      <c r="C19" s="69" t="s">
        <v>260</v>
      </c>
      <c r="D19" s="101">
        <v>2.12</v>
      </c>
      <c r="E19" s="101">
        <f ca="1">ROUND(E17*E18,2)</f>
        <v>2.8</v>
      </c>
      <c r="F19" s="101">
        <f ca="1">ROUND(F17*F18,2)</f>
        <v>2.8</v>
      </c>
      <c r="G19" s="101">
        <v>2.15</v>
      </c>
      <c r="H19" s="101">
        <f ca="1">ROUND(H17*H18,2)</f>
        <v>2.93</v>
      </c>
      <c r="I19" s="101">
        <v>2.13</v>
      </c>
      <c r="J19" s="101">
        <f ca="1">ROUND(J17*J18,2)</f>
        <v>2.97</v>
      </c>
    </row>
    <row r="20" spans="2:10" x14ac:dyDescent="0.2">
      <c r="D20" s="137"/>
    </row>
    <row r="21" spans="2:10" x14ac:dyDescent="0.2">
      <c r="C21" s="5" t="s">
        <v>214</v>
      </c>
    </row>
    <row r="22" spans="2:10" x14ac:dyDescent="0.2">
      <c r="C22" s="5" t="s">
        <v>301</v>
      </c>
    </row>
  </sheetData>
  <mergeCells count="5">
    <mergeCell ref="G6:H6"/>
    <mergeCell ref="I6:J6"/>
    <mergeCell ref="B6:B8"/>
    <mergeCell ref="C6:C8"/>
    <mergeCell ref="D6:F6"/>
  </mergeCells>
  <pageMargins left="0.27" right="0.25" top="1" bottom="1" header="0.25" footer="0.2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3"/>
  <sheetViews>
    <sheetView showGridLines="0" zoomScale="96" zoomScaleNormal="96" zoomScaleSheetLayoutView="90" zoomScalePageLayoutView="84" workbookViewId="0">
      <selection activeCell="B3" sqref="B3:J3"/>
    </sheetView>
  </sheetViews>
  <sheetFormatPr defaultColWidth="9.28515625" defaultRowHeight="14.25" x14ac:dyDescent="0.2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9" width="12.140625" style="5" customWidth="1"/>
    <col min="10" max="10" width="11.28515625" style="5" customWidth="1"/>
    <col min="11" max="13" width="11.7109375" style="5" bestFit="1" customWidth="1"/>
    <col min="14" max="16384" width="9.28515625" style="5"/>
  </cols>
  <sheetData>
    <row r="1" spans="2:10" ht="15" x14ac:dyDescent="0.2">
      <c r="B1" s="24"/>
    </row>
    <row r="2" spans="2:10" ht="15" x14ac:dyDescent="0.2">
      <c r="D2" s="32" t="s">
        <v>305</v>
      </c>
    </row>
    <row r="3" spans="2:10" ht="14.25" customHeight="1" x14ac:dyDescent="0.2">
      <c r="B3" s="217" t="str">
        <f>'F1'!$B$3</f>
        <v>Priyadarshini Jurala HES</v>
      </c>
      <c r="C3" s="217"/>
      <c r="D3" s="217"/>
      <c r="E3" s="217"/>
      <c r="F3" s="217"/>
      <c r="G3" s="217"/>
      <c r="H3" s="217"/>
      <c r="I3" s="217"/>
      <c r="J3" s="217"/>
    </row>
    <row r="4" spans="2:10" ht="15" x14ac:dyDescent="0.2">
      <c r="D4" s="35" t="s">
        <v>261</v>
      </c>
    </row>
    <row r="5" spans="2:10" ht="15" x14ac:dyDescent="0.2">
      <c r="J5" s="26" t="s">
        <v>4</v>
      </c>
    </row>
    <row r="6" spans="2:10" s="13" customFormat="1" ht="15" customHeight="1" x14ac:dyDescent="0.2">
      <c r="B6" s="221" t="s">
        <v>169</v>
      </c>
      <c r="C6" s="224" t="s">
        <v>18</v>
      </c>
      <c r="D6" s="228" t="s">
        <v>306</v>
      </c>
      <c r="E6" s="229"/>
      <c r="F6" s="230"/>
      <c r="G6" s="228" t="s">
        <v>307</v>
      </c>
      <c r="H6" s="230"/>
      <c r="I6" s="228" t="s">
        <v>332</v>
      </c>
      <c r="J6" s="230"/>
    </row>
    <row r="7" spans="2:10" s="13" customFormat="1" ht="45" x14ac:dyDescent="0.2">
      <c r="B7" s="222"/>
      <c r="C7" s="224"/>
      <c r="D7" s="15" t="s">
        <v>278</v>
      </c>
      <c r="E7" s="15" t="s">
        <v>212</v>
      </c>
      <c r="F7" s="15" t="s">
        <v>183</v>
      </c>
      <c r="G7" s="15" t="s">
        <v>278</v>
      </c>
      <c r="H7" s="15" t="s">
        <v>211</v>
      </c>
      <c r="I7" s="15" t="s">
        <v>278</v>
      </c>
      <c r="J7" s="15" t="s">
        <v>211</v>
      </c>
    </row>
    <row r="8" spans="2:10" s="13" customFormat="1" ht="30" x14ac:dyDescent="0.2">
      <c r="B8" s="223"/>
      <c r="C8" s="225"/>
      <c r="D8" s="15" t="s">
        <v>10</v>
      </c>
      <c r="E8" s="15" t="s">
        <v>12</v>
      </c>
      <c r="F8" s="15" t="s">
        <v>203</v>
      </c>
      <c r="G8" s="15" t="s">
        <v>10</v>
      </c>
      <c r="H8" s="15" t="s">
        <v>328</v>
      </c>
      <c r="I8" s="15" t="s">
        <v>10</v>
      </c>
      <c r="J8" s="15" t="s">
        <v>328</v>
      </c>
    </row>
    <row r="9" spans="2:10" x14ac:dyDescent="0.2">
      <c r="B9" s="61">
        <v>1</v>
      </c>
      <c r="C9" s="27" t="s">
        <v>196</v>
      </c>
      <c r="D9" s="113"/>
      <c r="E9" s="111">
        <f>'F4'!F21*30%</f>
        <v>207.75</v>
      </c>
      <c r="F9" s="111">
        <f>E9</f>
        <v>207.75</v>
      </c>
      <c r="G9" s="115"/>
      <c r="H9" s="116">
        <f>E13</f>
        <v>207.75749999999999</v>
      </c>
      <c r="I9" s="115"/>
      <c r="J9" s="116">
        <f>H13</f>
        <v>207.75749999999999</v>
      </c>
    </row>
    <row r="10" spans="2:10" x14ac:dyDescent="0.2">
      <c r="B10" s="20">
        <f>B9+1</f>
        <v>2</v>
      </c>
      <c r="C10" s="27" t="s">
        <v>197</v>
      </c>
      <c r="D10" s="113"/>
      <c r="E10" s="111">
        <f>'F3'!E12</f>
        <v>0.03</v>
      </c>
      <c r="F10" s="111">
        <f>'F3'!F12</f>
        <v>0.03</v>
      </c>
      <c r="G10" s="111">
        <f>'F3'!G12</f>
        <v>0</v>
      </c>
      <c r="H10" s="111">
        <f>'F3'!H12</f>
        <v>0</v>
      </c>
      <c r="I10" s="111">
        <f>'F3'!I12</f>
        <v>0</v>
      </c>
      <c r="J10" s="111">
        <f>'F3'!J12</f>
        <v>0</v>
      </c>
    </row>
    <row r="11" spans="2:10" x14ac:dyDescent="0.2">
      <c r="B11" s="20">
        <f t="shared" ref="B11:B21" si="0">B10+1</f>
        <v>3</v>
      </c>
      <c r="C11" s="29" t="s">
        <v>19</v>
      </c>
      <c r="D11" s="114">
        <f>D10*25%</f>
        <v>0</v>
      </c>
      <c r="E11" s="114">
        <f>E10*25%</f>
        <v>7.4999999999999997E-3</v>
      </c>
      <c r="F11" s="114">
        <f t="shared" ref="F11:J11" si="1">F10*25%</f>
        <v>7.4999999999999997E-3</v>
      </c>
      <c r="G11" s="114">
        <f t="shared" si="1"/>
        <v>0</v>
      </c>
      <c r="H11" s="114">
        <f t="shared" si="1"/>
        <v>0</v>
      </c>
      <c r="I11" s="114">
        <f t="shared" si="1"/>
        <v>0</v>
      </c>
      <c r="J11" s="114">
        <f t="shared" si="1"/>
        <v>0</v>
      </c>
    </row>
    <row r="12" spans="2:10" ht="28.5" x14ac:dyDescent="0.2">
      <c r="B12" s="20">
        <f t="shared" si="0"/>
        <v>4</v>
      </c>
      <c r="C12" s="69" t="s">
        <v>20</v>
      </c>
      <c r="D12" s="117"/>
      <c r="E12" s="39"/>
      <c r="F12" s="113"/>
      <c r="G12" s="39"/>
      <c r="H12" s="39"/>
      <c r="I12" s="39"/>
      <c r="J12" s="39"/>
    </row>
    <row r="13" spans="2:10" s="32" customFormat="1" ht="15" x14ac:dyDescent="0.2">
      <c r="B13" s="20">
        <f t="shared" si="0"/>
        <v>5</v>
      </c>
      <c r="C13" s="37" t="s">
        <v>21</v>
      </c>
      <c r="D13" s="118">
        <f>D9+D11-D12</f>
        <v>0</v>
      </c>
      <c r="E13" s="118">
        <f t="shared" ref="E13:J13" si="2">E9+E11-E12</f>
        <v>207.75749999999999</v>
      </c>
      <c r="F13" s="118">
        <f>F9+F11-F12</f>
        <v>207.75749999999999</v>
      </c>
      <c r="G13" s="118">
        <f t="shared" si="2"/>
        <v>0</v>
      </c>
      <c r="H13" s="118">
        <f t="shared" si="2"/>
        <v>207.75749999999999</v>
      </c>
      <c r="I13" s="118"/>
      <c r="J13" s="118">
        <f t="shared" si="2"/>
        <v>207.75749999999999</v>
      </c>
    </row>
    <row r="14" spans="2:10" s="32" customFormat="1" ht="15" x14ac:dyDescent="0.2">
      <c r="B14" s="20"/>
      <c r="C14" s="71" t="s">
        <v>262</v>
      </c>
      <c r="D14" s="70"/>
      <c r="E14" s="29"/>
      <c r="F14" s="3"/>
      <c r="G14" s="29"/>
      <c r="H14" s="29"/>
      <c r="I14" s="29"/>
      <c r="J14" s="29"/>
    </row>
    <row r="15" spans="2:10" s="32" customFormat="1" ht="15" x14ac:dyDescent="0.2">
      <c r="B15" s="20">
        <f>B13+1</f>
        <v>6</v>
      </c>
      <c r="C15" s="37" t="s">
        <v>263</v>
      </c>
      <c r="D15" s="157">
        <v>0.115</v>
      </c>
      <c r="E15" s="157">
        <v>0.155</v>
      </c>
      <c r="F15" s="157">
        <v>0.155</v>
      </c>
      <c r="G15" s="157">
        <v>0.155</v>
      </c>
      <c r="H15" s="157">
        <v>0.155</v>
      </c>
      <c r="I15" s="157">
        <v>0.155</v>
      </c>
      <c r="J15" s="157">
        <v>0.155</v>
      </c>
    </row>
    <row r="16" spans="2:10" s="32" customFormat="1" ht="15" x14ac:dyDescent="0.2">
      <c r="B16" s="20">
        <f>B15+1</f>
        <v>7</v>
      </c>
      <c r="C16" s="37" t="s">
        <v>264</v>
      </c>
      <c r="D16" s="158">
        <v>0.25168000000000001</v>
      </c>
      <c r="E16" s="158">
        <v>0.25168000000000001</v>
      </c>
      <c r="F16" s="158">
        <v>0.25168000000000001</v>
      </c>
      <c r="G16" s="158">
        <v>0.25168000000000001</v>
      </c>
      <c r="H16" s="158">
        <v>0.25168000000000001</v>
      </c>
      <c r="I16" s="158">
        <v>0.25168000000000001</v>
      </c>
      <c r="J16" s="158">
        <v>0.25168000000000001</v>
      </c>
    </row>
    <row r="17" spans="2:10" s="32" customFormat="1" ht="15" x14ac:dyDescent="0.2">
      <c r="B17" s="20">
        <f>B16+1</f>
        <v>8</v>
      </c>
      <c r="C17" s="30" t="s">
        <v>262</v>
      </c>
      <c r="D17" s="159">
        <f>D15/(1-D16)</f>
        <v>0.15367757109258073</v>
      </c>
      <c r="E17" s="159">
        <f t="shared" ref="E17:J17" si="3">E15/(1-E16)</f>
        <v>0.20713063929869574</v>
      </c>
      <c r="F17" s="159">
        <f t="shared" si="3"/>
        <v>0.20713063929869574</v>
      </c>
      <c r="G17" s="159">
        <f t="shared" si="3"/>
        <v>0.20713063929869574</v>
      </c>
      <c r="H17" s="159">
        <f t="shared" si="3"/>
        <v>0.20713063929869574</v>
      </c>
      <c r="I17" s="159">
        <f t="shared" si="3"/>
        <v>0.20713063929869574</v>
      </c>
      <c r="J17" s="159">
        <f t="shared" si="3"/>
        <v>0.20713063929869574</v>
      </c>
    </row>
    <row r="18" spans="2:10" ht="15" x14ac:dyDescent="0.2">
      <c r="B18" s="20"/>
      <c r="C18" s="71" t="s">
        <v>159</v>
      </c>
      <c r="D18" s="100"/>
      <c r="E18" s="29"/>
      <c r="F18" s="3"/>
      <c r="G18" s="29"/>
      <c r="H18" s="29"/>
      <c r="I18" s="29"/>
      <c r="J18" s="29"/>
    </row>
    <row r="19" spans="2:10" ht="17.25" customHeight="1" x14ac:dyDescent="0.2">
      <c r="B19" s="20">
        <f>B17+1</f>
        <v>9</v>
      </c>
      <c r="C19" s="69" t="s">
        <v>198</v>
      </c>
      <c r="D19" s="101">
        <f>D9*D17</f>
        <v>0</v>
      </c>
      <c r="E19" s="101">
        <f t="shared" ref="E19:J19" si="4">E9*E17</f>
        <v>43.031390314304041</v>
      </c>
      <c r="F19" s="101">
        <f t="shared" si="4"/>
        <v>43.031390314304041</v>
      </c>
      <c r="G19" s="101">
        <f t="shared" si="4"/>
        <v>0</v>
      </c>
      <c r="H19" s="101">
        <f t="shared" si="4"/>
        <v>43.032943794098777</v>
      </c>
      <c r="I19" s="101"/>
      <c r="J19" s="101">
        <f t="shared" si="4"/>
        <v>43.032943794098777</v>
      </c>
    </row>
    <row r="20" spans="2:10" ht="18.75" customHeight="1" x14ac:dyDescent="0.2">
      <c r="B20" s="20">
        <f t="shared" si="0"/>
        <v>10</v>
      </c>
      <c r="C20" s="69" t="s">
        <v>199</v>
      </c>
      <c r="D20" s="101">
        <f>AVERAGE(D9,D13)*D17-D19</f>
        <v>0</v>
      </c>
      <c r="E20" s="101">
        <f t="shared" ref="E20:J20" si="5">AVERAGE(E9,E13)*E17-E19</f>
        <v>7.7673989736837257E-4</v>
      </c>
      <c r="F20" s="101">
        <f t="shared" si="5"/>
        <v>7.7673989736837257E-4</v>
      </c>
      <c r="G20" s="101">
        <f t="shared" si="5"/>
        <v>0</v>
      </c>
      <c r="H20" s="101">
        <f t="shared" si="5"/>
        <v>0</v>
      </c>
      <c r="I20" s="101"/>
      <c r="J20" s="101">
        <f t="shared" si="5"/>
        <v>0</v>
      </c>
    </row>
    <row r="21" spans="2:10" ht="15" x14ac:dyDescent="0.2">
      <c r="B21" s="20">
        <f t="shared" si="0"/>
        <v>11</v>
      </c>
      <c r="C21" s="38" t="s">
        <v>160</v>
      </c>
      <c r="D21" s="101">
        <v>23.83</v>
      </c>
      <c r="E21" s="101">
        <f>ROUND((E19+E20),2)</f>
        <v>43.03</v>
      </c>
      <c r="F21" s="101">
        <f>ROUND((F19+F20),2)</f>
        <v>43.03</v>
      </c>
      <c r="G21" s="101">
        <v>32.119999999999997</v>
      </c>
      <c r="H21" s="101">
        <f>ROUND((H19+H20),2)</f>
        <v>43.03</v>
      </c>
      <c r="I21" s="101">
        <v>32.119999999999997</v>
      </c>
      <c r="J21" s="101">
        <f>ROUND((J19+J20),2)</f>
        <v>43.03</v>
      </c>
    </row>
    <row r="22" spans="2:10" x14ac:dyDescent="0.2">
      <c r="C22" s="5" t="s">
        <v>214</v>
      </c>
    </row>
    <row r="23" spans="2:10" x14ac:dyDescent="0.2">
      <c r="C23" s="5" t="s">
        <v>303</v>
      </c>
    </row>
  </sheetData>
  <mergeCells count="6">
    <mergeCell ref="B3:J3"/>
    <mergeCell ref="I6:J6"/>
    <mergeCell ref="B6:B8"/>
    <mergeCell ref="C6:C8"/>
    <mergeCell ref="D6:F6"/>
    <mergeCell ref="G6:H6"/>
  </mergeCells>
  <pageMargins left="1.02" right="0.25" top="1" bottom="1" header="0.25" footer="0.25"/>
  <pageSetup paperSize="9" scale="8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9"/>
  <sheetViews>
    <sheetView showGridLines="0" view="pageBreakPreview" topLeftCell="A11" zoomScale="90" zoomScaleNormal="112" zoomScaleSheetLayoutView="90" workbookViewId="0">
      <selection activeCell="E29" sqref="E29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10" width="11.28515625" style="5" customWidth="1"/>
    <col min="11" max="13" width="11.7109375" style="5" bestFit="1" customWidth="1"/>
    <col min="14" max="16384" width="9.28515625" style="5"/>
  </cols>
  <sheetData>
    <row r="2" spans="2:10" ht="14.25" customHeight="1" x14ac:dyDescent="0.2">
      <c r="B2" s="217" t="s">
        <v>305</v>
      </c>
      <c r="C2" s="217"/>
      <c r="D2" s="217"/>
      <c r="E2" s="217"/>
      <c r="F2" s="217"/>
      <c r="G2" s="217"/>
      <c r="H2" s="217"/>
      <c r="I2" s="217"/>
      <c r="J2" s="217"/>
    </row>
    <row r="3" spans="2:10" ht="14.25" customHeight="1" x14ac:dyDescent="0.2">
      <c r="B3" s="217" t="str">
        <f>'F1'!$B$3</f>
        <v>Priyadarshini Jurala HES</v>
      </c>
      <c r="C3" s="217"/>
      <c r="D3" s="217"/>
      <c r="E3" s="217"/>
      <c r="F3" s="217"/>
      <c r="G3" s="217"/>
      <c r="H3" s="217"/>
      <c r="I3" s="217"/>
      <c r="J3" s="217"/>
    </row>
    <row r="4" spans="2:10" ht="15" x14ac:dyDescent="0.2">
      <c r="B4" s="217" t="s">
        <v>265</v>
      </c>
      <c r="C4" s="217"/>
      <c r="D4" s="217"/>
      <c r="E4" s="217"/>
      <c r="F4" s="217"/>
      <c r="G4" s="217"/>
      <c r="H4" s="217"/>
      <c r="I4" s="217"/>
      <c r="J4" s="217"/>
    </row>
    <row r="5" spans="2:10" ht="15" x14ac:dyDescent="0.2">
      <c r="J5" s="26" t="s">
        <v>4</v>
      </c>
    </row>
    <row r="6" spans="2:10" s="13" customFormat="1" ht="15" customHeight="1" x14ac:dyDescent="0.2">
      <c r="B6" s="221" t="s">
        <v>169</v>
      </c>
      <c r="C6" s="224" t="s">
        <v>18</v>
      </c>
      <c r="D6" s="228" t="s">
        <v>306</v>
      </c>
      <c r="E6" s="229"/>
      <c r="F6" s="230"/>
      <c r="G6" s="228" t="s">
        <v>307</v>
      </c>
      <c r="H6" s="230"/>
      <c r="I6" s="228" t="s">
        <v>332</v>
      </c>
      <c r="J6" s="230"/>
    </row>
    <row r="7" spans="2:10" s="13" customFormat="1" ht="30" x14ac:dyDescent="0.2">
      <c r="B7" s="222"/>
      <c r="C7" s="224"/>
      <c r="D7" s="15" t="s">
        <v>278</v>
      </c>
      <c r="E7" s="15" t="s">
        <v>212</v>
      </c>
      <c r="F7" s="15" t="s">
        <v>183</v>
      </c>
      <c r="G7" s="15" t="s">
        <v>278</v>
      </c>
      <c r="H7" s="15" t="s">
        <v>211</v>
      </c>
      <c r="I7" s="15" t="s">
        <v>278</v>
      </c>
      <c r="J7" s="15" t="s">
        <v>201</v>
      </c>
    </row>
    <row r="8" spans="2:10" s="13" customFormat="1" ht="15" x14ac:dyDescent="0.2">
      <c r="B8" s="223"/>
      <c r="C8" s="225"/>
      <c r="D8" s="15" t="s">
        <v>10</v>
      </c>
      <c r="E8" s="15" t="s">
        <v>12</v>
      </c>
      <c r="F8" s="15" t="s">
        <v>203</v>
      </c>
      <c r="G8" s="15" t="s">
        <v>10</v>
      </c>
      <c r="H8" s="15" t="s">
        <v>5</v>
      </c>
      <c r="I8" s="15" t="s">
        <v>10</v>
      </c>
      <c r="J8" s="15" t="s">
        <v>8</v>
      </c>
    </row>
    <row r="9" spans="2:10" s="13" customFormat="1" ht="15" x14ac:dyDescent="0.2">
      <c r="B9" s="61">
        <v>1</v>
      </c>
      <c r="C9" s="163" t="s">
        <v>316</v>
      </c>
      <c r="D9" s="138"/>
      <c r="E9" s="139">
        <v>2.2474286660778442E-2</v>
      </c>
      <c r="F9" s="139">
        <v>2.2474286660778442E-2</v>
      </c>
      <c r="G9" s="15"/>
      <c r="H9" s="165">
        <v>2.3373258127209577E-2</v>
      </c>
      <c r="I9" s="15"/>
      <c r="J9" s="165">
        <v>2.4308188452297961E-2</v>
      </c>
    </row>
    <row r="10" spans="2:10" s="13" customFormat="1" ht="15" x14ac:dyDescent="0.2">
      <c r="B10" s="61">
        <f>B9+1</f>
        <v>2</v>
      </c>
      <c r="C10" s="163" t="s">
        <v>315</v>
      </c>
      <c r="D10" s="138"/>
      <c r="E10" s="139">
        <v>9.7034531941047849E-4</v>
      </c>
      <c r="F10" s="139">
        <v>9.7034531941047849E-4</v>
      </c>
      <c r="G10" s="15"/>
      <c r="H10" s="165">
        <v>2.6602083643290169E-3</v>
      </c>
      <c r="I10" s="15"/>
      <c r="J10" s="165">
        <v>2.7666166989021778E-3</v>
      </c>
    </row>
    <row r="11" spans="2:10" s="13" customFormat="1" ht="15" x14ac:dyDescent="0.2">
      <c r="B11" s="61">
        <f>B10+1</f>
        <v>3</v>
      </c>
      <c r="C11" s="163" t="s">
        <v>314</v>
      </c>
      <c r="D11" s="138"/>
      <c r="E11" s="139">
        <v>8.320216457300092E-3</v>
      </c>
      <c r="F11" s="139">
        <v>8.320216457300092E-3</v>
      </c>
      <c r="G11" s="15"/>
      <c r="H11" s="165">
        <v>8.6530251155920949E-3</v>
      </c>
      <c r="I11" s="15"/>
      <c r="J11" s="165">
        <v>8.9991461202157796E-3</v>
      </c>
    </row>
    <row r="12" spans="2:10" s="13" customFormat="1" ht="15" x14ac:dyDescent="0.2">
      <c r="B12" s="164">
        <f t="shared" ref="B12:B27" si="0">B11+1</f>
        <v>4</v>
      </c>
      <c r="C12" s="163" t="s">
        <v>327</v>
      </c>
      <c r="D12" s="138"/>
      <c r="E12" s="139">
        <v>0</v>
      </c>
      <c r="F12" s="139">
        <v>0</v>
      </c>
      <c r="G12" s="15"/>
      <c r="H12" s="165">
        <v>0</v>
      </c>
      <c r="I12" s="15"/>
      <c r="J12" s="165">
        <v>0</v>
      </c>
    </row>
    <row r="13" spans="2:10" s="13" customFormat="1" ht="15" x14ac:dyDescent="0.2">
      <c r="B13" s="164">
        <f t="shared" si="0"/>
        <v>5</v>
      </c>
      <c r="C13" s="163" t="s">
        <v>324</v>
      </c>
      <c r="D13" s="139"/>
      <c r="E13" s="139">
        <v>2.720594098771676E-3</v>
      </c>
      <c r="F13" s="139">
        <v>2.720594098771676E-3</v>
      </c>
      <c r="G13" s="15"/>
      <c r="H13" s="165">
        <v>2.829417862722543E-3</v>
      </c>
      <c r="I13" s="15"/>
      <c r="J13" s="165">
        <v>2.9425945772314447E-3</v>
      </c>
    </row>
    <row r="14" spans="2:10" s="13" customFormat="1" ht="15" x14ac:dyDescent="0.2">
      <c r="B14" s="164">
        <f t="shared" si="0"/>
        <v>6</v>
      </c>
      <c r="C14" s="163" t="s">
        <v>310</v>
      </c>
      <c r="D14" s="139"/>
      <c r="E14" s="139">
        <v>3.098211784810323E-2</v>
      </c>
      <c r="F14" s="139">
        <v>3.098211784810323E-2</v>
      </c>
      <c r="G14" s="15"/>
      <c r="H14" s="165">
        <v>3.2221402562027358E-2</v>
      </c>
      <c r="I14" s="15"/>
      <c r="J14" s="165">
        <v>3.3510258664508456E-2</v>
      </c>
    </row>
    <row r="15" spans="2:10" s="13" customFormat="1" ht="15" x14ac:dyDescent="0.2">
      <c r="B15" s="164">
        <f t="shared" si="0"/>
        <v>7</v>
      </c>
      <c r="C15" s="163" t="s">
        <v>323</v>
      </c>
      <c r="D15" s="139"/>
      <c r="E15" s="139">
        <v>2.855E-4</v>
      </c>
      <c r="F15" s="139">
        <v>2.855E-4</v>
      </c>
      <c r="G15" s="15"/>
      <c r="H15" s="165">
        <v>2.9692000000000005E-4</v>
      </c>
      <c r="I15" s="15"/>
      <c r="J15" s="165">
        <v>3.0879680000000007E-4</v>
      </c>
    </row>
    <row r="16" spans="2:10" s="13" customFormat="1" ht="15" x14ac:dyDescent="0.2">
      <c r="B16" s="164">
        <f t="shared" si="0"/>
        <v>8</v>
      </c>
      <c r="C16" s="163" t="s">
        <v>318</v>
      </c>
      <c r="D16" s="139"/>
      <c r="E16" s="139">
        <v>7.1799140975072701E-2</v>
      </c>
      <c r="F16" s="139">
        <v>7.1799140975072701E-2</v>
      </c>
      <c r="G16" s="15"/>
      <c r="H16" s="165">
        <v>7.4671106614075611E-2</v>
      </c>
      <c r="I16" s="15"/>
      <c r="J16" s="165">
        <v>7.7657950878638637E-2</v>
      </c>
    </row>
    <row r="17" spans="2:10" s="13" customFormat="1" ht="15" x14ac:dyDescent="0.2">
      <c r="B17" s="164">
        <f t="shared" si="0"/>
        <v>9</v>
      </c>
      <c r="C17" s="163" t="s">
        <v>311</v>
      </c>
      <c r="D17" s="139"/>
      <c r="E17" s="139">
        <v>0</v>
      </c>
      <c r="F17" s="139">
        <v>0</v>
      </c>
      <c r="G17" s="15"/>
      <c r="H17" s="165">
        <v>0</v>
      </c>
      <c r="I17" s="15"/>
      <c r="J17" s="165">
        <v>0</v>
      </c>
    </row>
    <row r="18" spans="2:10" s="13" customFormat="1" ht="15" x14ac:dyDescent="0.2">
      <c r="B18" s="164">
        <f t="shared" si="0"/>
        <v>10</v>
      </c>
      <c r="C18" s="163" t="s">
        <v>345</v>
      </c>
      <c r="D18" s="139"/>
      <c r="E18" s="139">
        <v>0</v>
      </c>
      <c r="F18" s="139">
        <v>0</v>
      </c>
      <c r="G18" s="15"/>
      <c r="H18" s="165">
        <v>0</v>
      </c>
      <c r="I18" s="15"/>
      <c r="J18" s="165">
        <v>0</v>
      </c>
    </row>
    <row r="19" spans="2:10" s="13" customFormat="1" ht="15" x14ac:dyDescent="0.2">
      <c r="B19" s="164">
        <f t="shared" si="0"/>
        <v>11</v>
      </c>
      <c r="C19" s="163" t="s">
        <v>313</v>
      </c>
      <c r="D19" s="139"/>
      <c r="E19" s="139">
        <v>0.11850076000000001</v>
      </c>
      <c r="F19" s="139">
        <v>0.11850076000000001</v>
      </c>
      <c r="G19" s="15"/>
      <c r="H19" s="165">
        <v>1.1112424000000001</v>
      </c>
      <c r="I19" s="15"/>
      <c r="J19" s="165">
        <v>1.1556920960000001</v>
      </c>
    </row>
    <row r="20" spans="2:10" s="13" customFormat="1" ht="15" x14ac:dyDescent="0.2">
      <c r="B20" s="164">
        <f t="shared" si="0"/>
        <v>12</v>
      </c>
      <c r="C20" s="163" t="s">
        <v>312</v>
      </c>
      <c r="D20" s="139"/>
      <c r="E20" s="139">
        <v>0</v>
      </c>
      <c r="F20" s="139">
        <v>0</v>
      </c>
      <c r="G20" s="15"/>
      <c r="H20" s="165">
        <v>0</v>
      </c>
      <c r="I20" s="15"/>
      <c r="J20" s="165">
        <v>0</v>
      </c>
    </row>
    <row r="21" spans="2:10" x14ac:dyDescent="0.2">
      <c r="B21" s="164">
        <f t="shared" si="0"/>
        <v>13</v>
      </c>
      <c r="C21" s="163" t="s">
        <v>317</v>
      </c>
      <c r="D21" s="139"/>
      <c r="E21" s="139">
        <v>2.3134288989184702E-3</v>
      </c>
      <c r="F21" s="139">
        <v>2.3134288989184702E-3</v>
      </c>
      <c r="G21" s="21"/>
      <c r="H21" s="116">
        <v>2.4059660548752092E-3</v>
      </c>
      <c r="I21" s="21"/>
      <c r="J21" s="116">
        <v>2.5022046970702176E-3</v>
      </c>
    </row>
    <row r="22" spans="2:10" x14ac:dyDescent="0.2">
      <c r="B22" s="164">
        <f t="shared" si="0"/>
        <v>14</v>
      </c>
      <c r="C22" s="163" t="s">
        <v>321</v>
      </c>
      <c r="D22" s="139"/>
      <c r="E22" s="139">
        <v>7.4769654425574303E-3</v>
      </c>
      <c r="F22" s="139">
        <v>7.4769654425574303E-3</v>
      </c>
      <c r="G22" s="21"/>
      <c r="H22" s="116">
        <v>1.1526610993685311E-2</v>
      </c>
      <c r="I22" s="21"/>
      <c r="J22" s="116">
        <v>1.1987675433432723E-2</v>
      </c>
    </row>
    <row r="23" spans="2:10" x14ac:dyDescent="0.2">
      <c r="B23" s="164">
        <f t="shared" si="0"/>
        <v>15</v>
      </c>
      <c r="C23" s="163" t="s">
        <v>325</v>
      </c>
      <c r="D23" s="139"/>
      <c r="E23" s="139">
        <v>3.8434840797654989E-2</v>
      </c>
      <c r="F23" s="139">
        <v>3.8434840797654989E-2</v>
      </c>
      <c r="G23" s="21"/>
      <c r="H23" s="116">
        <v>3.9972234429561188E-2</v>
      </c>
      <c r="I23" s="21"/>
      <c r="J23" s="116">
        <v>4.1571123806743639E-2</v>
      </c>
    </row>
    <row r="24" spans="2:10" x14ac:dyDescent="0.2">
      <c r="B24" s="164">
        <f t="shared" si="0"/>
        <v>16</v>
      </c>
      <c r="C24" s="163" t="s">
        <v>326</v>
      </c>
      <c r="D24" s="139"/>
      <c r="E24" s="139">
        <v>1.9205089695709964E-3</v>
      </c>
      <c r="F24" s="139">
        <v>1.9205089695709964E-3</v>
      </c>
      <c r="G24" s="21"/>
      <c r="H24" s="116">
        <v>1.9973293283538367E-3</v>
      </c>
      <c r="I24" s="21"/>
      <c r="J24" s="116">
        <v>2.0772225014879901E-3</v>
      </c>
    </row>
    <row r="25" spans="2:10" ht="15.75" customHeight="1" x14ac:dyDescent="0.2">
      <c r="B25" s="164">
        <f t="shared" si="0"/>
        <v>17</v>
      </c>
      <c r="C25" s="163" t="s">
        <v>322</v>
      </c>
      <c r="D25" s="140">
        <f>SUM(D9:D20)</f>
        <v>0</v>
      </c>
      <c r="E25" s="139">
        <v>4.3573712557584427E-3</v>
      </c>
      <c r="F25" s="139">
        <v>4.3573712557584427E-3</v>
      </c>
      <c r="G25" s="29"/>
      <c r="H25" s="111">
        <v>4.5316661059887804E-3</v>
      </c>
      <c r="I25" s="29"/>
      <c r="J25" s="111">
        <v>4.7129327502283321E-3</v>
      </c>
    </row>
    <row r="26" spans="2:10" s="32" customFormat="1" ht="15" x14ac:dyDescent="0.2">
      <c r="B26" s="164">
        <f t="shared" si="0"/>
        <v>18</v>
      </c>
      <c r="C26" s="163" t="s">
        <v>320</v>
      </c>
      <c r="D26" s="140"/>
      <c r="E26" s="139">
        <v>7.9639898569987936E-5</v>
      </c>
      <c r="F26" s="139">
        <v>7.9639898569987936E-5</v>
      </c>
      <c r="G26" s="29"/>
      <c r="H26" s="111">
        <v>6.9732108991215781E-3</v>
      </c>
      <c r="I26" s="29"/>
      <c r="J26" s="111">
        <v>7.2521393350864416E-3</v>
      </c>
    </row>
    <row r="27" spans="2:10" s="32" customFormat="1" ht="15" x14ac:dyDescent="0.2">
      <c r="B27" s="164">
        <f t="shared" si="0"/>
        <v>19</v>
      </c>
      <c r="C27" s="163" t="s">
        <v>319</v>
      </c>
      <c r="D27" s="140"/>
      <c r="E27" s="139">
        <v>5.5000000000000003E-4</v>
      </c>
      <c r="F27" s="139">
        <v>5.5000000000000003E-4</v>
      </c>
      <c r="G27" s="29"/>
      <c r="H27" s="111">
        <v>1.0041867345873564E-3</v>
      </c>
      <c r="I27" s="29"/>
      <c r="J27" s="111">
        <v>1.0443542039708508E-3</v>
      </c>
    </row>
    <row r="28" spans="2:10" x14ac:dyDescent="0.2">
      <c r="B28" s="20"/>
      <c r="C28" s="69"/>
      <c r="D28" s="70"/>
      <c r="E28" s="29"/>
      <c r="F28" s="29"/>
      <c r="G28" s="39"/>
      <c r="H28" s="39"/>
      <c r="I28" s="39"/>
      <c r="J28" s="39"/>
    </row>
    <row r="29" spans="2:10" ht="15" x14ac:dyDescent="0.2">
      <c r="B29" s="20"/>
      <c r="C29" s="31" t="s">
        <v>127</v>
      </c>
      <c r="D29" s="101">
        <v>0.28999999999999998</v>
      </c>
      <c r="E29" s="101">
        <f>ROUND(SUM(E9:E27),2)</f>
        <v>0.31</v>
      </c>
      <c r="F29" s="101">
        <f>ROUND(SUM(F9:F27),2)</f>
        <v>0.31</v>
      </c>
      <c r="G29" s="101">
        <v>0.3</v>
      </c>
      <c r="H29" s="101">
        <f>ROUND(SUM(H9:H27),2)</f>
        <v>1.32</v>
      </c>
      <c r="I29" s="101">
        <v>0.31</v>
      </c>
      <c r="J29" s="101">
        <f>ROUND(SUM(J9:J27),2)</f>
        <v>1.38</v>
      </c>
    </row>
  </sheetData>
  <mergeCells count="8">
    <mergeCell ref="B3:J3"/>
    <mergeCell ref="B2:J2"/>
    <mergeCell ref="B4:J4"/>
    <mergeCell ref="I6:J6"/>
    <mergeCell ref="B6:B8"/>
    <mergeCell ref="C6:C8"/>
    <mergeCell ref="D6:F6"/>
    <mergeCell ref="G6:H6"/>
  </mergeCells>
  <pageMargins left="0.27" right="0.25" top="0.25" bottom="1" header="0.25" footer="0.2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1"/>
  <sheetViews>
    <sheetView showGridLines="0" view="pageBreakPreview" zoomScaleNormal="93" zoomScaleSheetLayoutView="100" workbookViewId="0">
      <selection activeCell="D3" sqref="D3"/>
    </sheetView>
  </sheetViews>
  <sheetFormatPr defaultColWidth="9.28515625" defaultRowHeight="14.25" x14ac:dyDescent="0.2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5" width="18" style="5" bestFit="1" customWidth="1"/>
    <col min="6" max="6" width="15.7109375" style="5" customWidth="1"/>
    <col min="7" max="16384" width="9.28515625" style="5"/>
  </cols>
  <sheetData>
    <row r="2" spans="2:6" ht="15" x14ac:dyDescent="0.2">
      <c r="B2" s="217" t="s">
        <v>305</v>
      </c>
      <c r="C2" s="217"/>
      <c r="D2" s="217"/>
      <c r="E2" s="217"/>
      <c r="F2" s="217"/>
    </row>
    <row r="3" spans="2:6" ht="15" x14ac:dyDescent="0.2">
      <c r="B3" s="35"/>
      <c r="C3" s="35"/>
      <c r="D3" s="35" t="str">
        <f>'F1'!$B$3</f>
        <v>Priyadarshini Jurala HES</v>
      </c>
      <c r="E3" s="35"/>
      <c r="F3" s="35"/>
    </row>
    <row r="4" spans="2:6" ht="14.25" customHeight="1" x14ac:dyDescent="0.2">
      <c r="B4" s="217" t="s">
        <v>267</v>
      </c>
      <c r="C4" s="217"/>
      <c r="D4" s="217"/>
      <c r="E4" s="217"/>
      <c r="F4" s="217"/>
    </row>
    <row r="5" spans="2:6" ht="15" x14ac:dyDescent="0.2">
      <c r="B5" s="24"/>
      <c r="C5" s="73"/>
      <c r="D5" s="74"/>
    </row>
    <row r="6" spans="2:6" ht="15" customHeight="1" x14ac:dyDescent="0.2">
      <c r="B6" s="232" t="s">
        <v>2</v>
      </c>
      <c r="C6" s="237" t="s">
        <v>18</v>
      </c>
      <c r="D6" s="120" t="s">
        <v>306</v>
      </c>
      <c r="E6" s="23" t="s">
        <v>307</v>
      </c>
      <c r="F6" s="23" t="s">
        <v>332</v>
      </c>
    </row>
    <row r="7" spans="2:6" ht="15" x14ac:dyDescent="0.2">
      <c r="B7" s="232"/>
      <c r="C7" s="237"/>
      <c r="D7" s="15" t="s">
        <v>266</v>
      </c>
      <c r="E7" s="15" t="s">
        <v>211</v>
      </c>
      <c r="F7" s="15" t="s">
        <v>211</v>
      </c>
    </row>
    <row r="8" spans="2:6" ht="24.75" customHeight="1" x14ac:dyDescent="0.2">
      <c r="B8" s="250"/>
      <c r="C8" s="251"/>
      <c r="D8" s="15" t="s">
        <v>3</v>
      </c>
      <c r="E8" s="15" t="s">
        <v>5</v>
      </c>
      <c r="F8" s="15" t="s">
        <v>8</v>
      </c>
    </row>
    <row r="9" spans="2:6" ht="15" x14ac:dyDescent="0.2">
      <c r="B9" s="75">
        <v>1</v>
      </c>
      <c r="C9" s="76" t="s">
        <v>146</v>
      </c>
      <c r="D9" s="72"/>
      <c r="E9" s="72"/>
      <c r="F9" s="27"/>
    </row>
    <row r="10" spans="2:6" s="32" customFormat="1" ht="15" x14ac:dyDescent="0.2">
      <c r="B10" s="77" t="s">
        <v>45</v>
      </c>
      <c r="C10" s="38" t="s">
        <v>46</v>
      </c>
      <c r="D10" s="78"/>
      <c r="E10" s="38"/>
      <c r="F10" s="38"/>
    </row>
    <row r="11" spans="2:6" s="32" customFormat="1" ht="15" x14ac:dyDescent="0.2">
      <c r="B11" s="79"/>
      <c r="C11" s="29" t="s">
        <v>47</v>
      </c>
      <c r="D11" s="78"/>
      <c r="E11" s="38"/>
      <c r="F11" s="38"/>
    </row>
    <row r="12" spans="2:6" s="32" customFormat="1" ht="15" x14ac:dyDescent="0.2">
      <c r="B12" s="79"/>
      <c r="C12" s="29" t="s">
        <v>48</v>
      </c>
      <c r="D12" s="78"/>
      <c r="E12" s="38"/>
      <c r="F12" s="38"/>
    </row>
    <row r="13" spans="2:6" s="32" customFormat="1" ht="15" x14ac:dyDescent="0.2">
      <c r="B13" s="79"/>
      <c r="C13" s="29" t="s">
        <v>49</v>
      </c>
      <c r="D13" s="78" t="s">
        <v>329</v>
      </c>
      <c r="E13" s="38"/>
      <c r="F13" s="38"/>
    </row>
    <row r="14" spans="2:6" s="32" customFormat="1" ht="15" x14ac:dyDescent="0.2">
      <c r="B14" s="79"/>
      <c r="C14" s="80"/>
      <c r="D14" s="78"/>
      <c r="E14" s="38"/>
      <c r="F14" s="38"/>
    </row>
    <row r="15" spans="2:6" s="32" customFormat="1" ht="15" x14ac:dyDescent="0.2">
      <c r="B15" s="77" t="s">
        <v>50</v>
      </c>
      <c r="C15" s="81" t="s">
        <v>51</v>
      </c>
      <c r="D15" s="78"/>
      <c r="E15" s="38"/>
      <c r="F15" s="38"/>
    </row>
    <row r="16" spans="2:6" s="32" customFormat="1" ht="15" x14ac:dyDescent="0.2">
      <c r="B16" s="79"/>
      <c r="C16" s="29" t="s">
        <v>47</v>
      </c>
      <c r="D16" s="78"/>
      <c r="E16" s="38"/>
      <c r="F16" s="38"/>
    </row>
    <row r="17" spans="2:6" x14ac:dyDescent="0.2">
      <c r="B17" s="79"/>
      <c r="C17" s="29" t="s">
        <v>48</v>
      </c>
      <c r="D17" s="78"/>
      <c r="E17" s="27"/>
      <c r="F17" s="27"/>
    </row>
    <row r="18" spans="2:6" x14ac:dyDescent="0.2">
      <c r="B18" s="82"/>
      <c r="C18" s="29" t="s">
        <v>52</v>
      </c>
      <c r="D18" s="78"/>
      <c r="E18" s="27"/>
      <c r="F18" s="27"/>
    </row>
    <row r="19" spans="2:6" ht="15" x14ac:dyDescent="0.2">
      <c r="B19" s="82"/>
      <c r="C19" s="81"/>
      <c r="D19" s="78"/>
      <c r="E19" s="27"/>
      <c r="F19" s="27"/>
    </row>
    <row r="20" spans="2:6" ht="17.25" customHeight="1" x14ac:dyDescent="0.2">
      <c r="B20" s="77">
        <v>2</v>
      </c>
      <c r="C20" s="76" t="s">
        <v>147</v>
      </c>
      <c r="D20" s="78"/>
      <c r="E20" s="27"/>
      <c r="F20" s="27"/>
    </row>
    <row r="21" spans="2:6" ht="17.25" customHeight="1" x14ac:dyDescent="0.2">
      <c r="B21" s="77"/>
      <c r="C21" s="76" t="s">
        <v>53</v>
      </c>
      <c r="D21" s="78"/>
      <c r="E21" s="27"/>
      <c r="F21" s="27"/>
    </row>
    <row r="22" spans="2:6" ht="17.25" customHeight="1" x14ac:dyDescent="0.2">
      <c r="B22" s="77"/>
      <c r="C22" s="76" t="s">
        <v>53</v>
      </c>
      <c r="D22" s="78"/>
      <c r="E22" s="27"/>
      <c r="F22" s="27"/>
    </row>
    <row r="23" spans="2:6" ht="15" x14ac:dyDescent="0.2">
      <c r="B23" s="79"/>
      <c r="C23" s="81" t="s">
        <v>54</v>
      </c>
      <c r="D23" s="78"/>
      <c r="E23" s="27"/>
      <c r="F23" s="27"/>
    </row>
    <row r="25" spans="2:6" ht="15" x14ac:dyDescent="0.2">
      <c r="B25" s="83" t="s">
        <v>43</v>
      </c>
      <c r="C25" s="84"/>
      <c r="D25" s="84"/>
      <c r="E25" s="84"/>
    </row>
    <row r="26" spans="2:6" x14ac:dyDescent="0.2">
      <c r="B26" s="5" t="s">
        <v>184</v>
      </c>
      <c r="D26" s="85"/>
      <c r="E26" s="84"/>
    </row>
    <row r="27" spans="2:6" ht="18" customHeight="1" x14ac:dyDescent="0.2">
      <c r="B27" s="84"/>
      <c r="E27" s="84"/>
    </row>
    <row r="28" spans="2:6" x14ac:dyDescent="0.2">
      <c r="B28" s="84"/>
      <c r="C28" s="84"/>
      <c r="D28" s="84"/>
      <c r="E28" s="84"/>
    </row>
    <row r="29" spans="2:6" x14ac:dyDescent="0.2">
      <c r="B29" s="84"/>
      <c r="C29" s="84"/>
      <c r="D29" s="84"/>
      <c r="E29" s="84"/>
    </row>
    <row r="30" spans="2:6" x14ac:dyDescent="0.2">
      <c r="B30" s="84"/>
      <c r="C30" s="84"/>
      <c r="D30" s="84"/>
      <c r="E30" s="84"/>
    </row>
    <row r="31" spans="2:6" x14ac:dyDescent="0.2">
      <c r="B31" s="84"/>
      <c r="C31" s="84"/>
      <c r="D31" s="84"/>
      <c r="E31" s="84"/>
    </row>
  </sheetData>
  <mergeCells count="4">
    <mergeCell ref="B6:B8"/>
    <mergeCell ref="C6:C8"/>
    <mergeCell ref="B4:F4"/>
    <mergeCell ref="B2:F2"/>
  </mergeCells>
  <pageMargins left="0.75" right="0.75" top="1" bottom="1" header="0.5" footer="0.5"/>
  <pageSetup paperSize="9" scale="97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showGridLines="0" view="pageBreakPreview" zoomScale="81" zoomScaleNormal="93" zoomScaleSheetLayoutView="81" workbookViewId="0">
      <selection activeCell="P30" sqref="P30"/>
    </sheetView>
  </sheetViews>
  <sheetFormatPr defaultColWidth="9.28515625" defaultRowHeight="14.25" x14ac:dyDescent="0.2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1:17" ht="15" x14ac:dyDescent="0.2">
      <c r="B1" s="91"/>
    </row>
    <row r="2" spans="1:17" ht="15" x14ac:dyDescent="0.2">
      <c r="I2" s="32" t="s">
        <v>305</v>
      </c>
    </row>
    <row r="3" spans="1:17" ht="15" x14ac:dyDescent="0.2">
      <c r="I3" s="32" t="s">
        <v>346</v>
      </c>
    </row>
    <row r="4" spans="1:17" ht="15" x14ac:dyDescent="0.2">
      <c r="C4" s="73"/>
      <c r="D4" s="73"/>
      <c r="E4" s="73"/>
      <c r="F4" s="73"/>
      <c r="G4" s="73"/>
      <c r="H4" s="73"/>
      <c r="I4" s="35" t="s">
        <v>273</v>
      </c>
    </row>
    <row r="5" spans="1:17" ht="15" x14ac:dyDescent="0.2">
      <c r="B5" s="24" t="s">
        <v>306</v>
      </c>
      <c r="C5" s="73"/>
      <c r="D5" s="73"/>
      <c r="E5" s="73"/>
      <c r="F5" s="73"/>
      <c r="G5" s="73"/>
      <c r="H5" s="73"/>
      <c r="I5" s="35"/>
    </row>
    <row r="6" spans="1:17" ht="15" x14ac:dyDescent="0.2">
      <c r="B6" s="24" t="s">
        <v>12</v>
      </c>
      <c r="C6" s="25"/>
      <c r="D6" s="25"/>
      <c r="O6" s="25" t="s">
        <v>128</v>
      </c>
    </row>
    <row r="7" spans="1:17" s="32" customFormat="1" ht="15" customHeight="1" x14ac:dyDescent="0.2">
      <c r="B7" s="166" t="s">
        <v>274</v>
      </c>
      <c r="C7" s="166" t="s">
        <v>129</v>
      </c>
      <c r="D7" s="166" t="s">
        <v>130</v>
      </c>
      <c r="E7" s="167" t="s">
        <v>131</v>
      </c>
      <c r="F7" s="167" t="s">
        <v>132</v>
      </c>
      <c r="G7" s="167" t="s">
        <v>133</v>
      </c>
      <c r="H7" s="167" t="s">
        <v>134</v>
      </c>
      <c r="I7" s="167" t="s">
        <v>135</v>
      </c>
      <c r="J7" s="167" t="s">
        <v>136</v>
      </c>
      <c r="K7" s="167" t="s">
        <v>137</v>
      </c>
      <c r="L7" s="167" t="s">
        <v>138</v>
      </c>
      <c r="M7" s="167" t="s">
        <v>139</v>
      </c>
      <c r="N7" s="167" t="s">
        <v>140</v>
      </c>
      <c r="O7" s="167" t="s">
        <v>127</v>
      </c>
    </row>
    <row r="8" spans="1:17" s="32" customFormat="1" ht="15" x14ac:dyDescent="0.2">
      <c r="B8" s="142" t="s">
        <v>348</v>
      </c>
      <c r="C8" s="141">
        <f>-0.05*0.7055</f>
        <v>-3.5275000000000001E-2</v>
      </c>
      <c r="D8" s="141">
        <f>-0.08*0.7055</f>
        <v>-5.6440000000000004E-2</v>
      </c>
      <c r="E8" s="141">
        <f>-0.05*0.7055</f>
        <v>-3.5275000000000001E-2</v>
      </c>
      <c r="F8" s="141">
        <f>15.48*0.7055</f>
        <v>10.921140000000001</v>
      </c>
      <c r="G8" s="141">
        <f>44.52*0.7055</f>
        <v>31.408860000000004</v>
      </c>
      <c r="H8" s="141">
        <f>35.23*0.7055</f>
        <v>24.854764999999997</v>
      </c>
      <c r="I8" s="141">
        <f>59.85*0.7055</f>
        <v>42.224175000000002</v>
      </c>
      <c r="J8" s="141">
        <f>9.11*0.7055</f>
        <v>6.4271050000000001</v>
      </c>
      <c r="K8" s="141">
        <f>-0.14*0.7055</f>
        <v>-9.8770000000000011E-2</v>
      </c>
      <c r="L8" s="141">
        <f>-0.07*0.7055</f>
        <v>-4.9385000000000005E-2</v>
      </c>
      <c r="M8" s="141">
        <f>-0.16*0.7055</f>
        <v>-0.11288000000000001</v>
      </c>
      <c r="N8" s="141">
        <f>-0.16*0.7055</f>
        <v>-0.11288000000000001</v>
      </c>
      <c r="O8" s="168">
        <f>SUM(C8:N8)</f>
        <v>115.33514</v>
      </c>
    </row>
    <row r="9" spans="1:17" s="32" customFormat="1" ht="15" x14ac:dyDescent="0.2">
      <c r="B9" s="142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8"/>
    </row>
    <row r="10" spans="1:17" s="32" customFormat="1" ht="15" x14ac:dyDescent="0.2">
      <c r="B10" s="142" t="s">
        <v>349</v>
      </c>
      <c r="C10" s="141">
        <f>-0.05*0.2945</f>
        <v>-1.4725E-2</v>
      </c>
      <c r="D10" s="141">
        <f>-0.08*0.2945</f>
        <v>-2.3559999999999998E-2</v>
      </c>
      <c r="E10" s="141">
        <f>-0.05*0.2945</f>
        <v>-1.4725E-2</v>
      </c>
      <c r="F10" s="141">
        <f>15.48*0.2945</f>
        <v>4.5588600000000001</v>
      </c>
      <c r="G10" s="141">
        <f>44.52*0.2945</f>
        <v>13.111140000000001</v>
      </c>
      <c r="H10" s="141">
        <f>35.23*0.2945</f>
        <v>10.375234999999998</v>
      </c>
      <c r="I10" s="141">
        <f>59.85*0.2945</f>
        <v>17.625824999999999</v>
      </c>
      <c r="J10" s="141">
        <f>9.11*0.2945</f>
        <v>2.6828949999999998</v>
      </c>
      <c r="K10" s="141">
        <f>-0.14*0.2945</f>
        <v>-4.1230000000000003E-2</v>
      </c>
      <c r="L10" s="141">
        <f>-0.07*0.2945</f>
        <v>-2.0615000000000001E-2</v>
      </c>
      <c r="M10" s="141">
        <f>-0.16*0.2945</f>
        <v>-4.7119999999999995E-2</v>
      </c>
      <c r="N10" s="141">
        <f>-0.16*0.2945</f>
        <v>-4.7119999999999995E-2</v>
      </c>
      <c r="O10" s="168">
        <f>SUM(C10:N10)</f>
        <v>48.144860000000001</v>
      </c>
    </row>
    <row r="11" spans="1:17" ht="15" x14ac:dyDescent="0.2">
      <c r="B11" s="142" t="s">
        <v>350</v>
      </c>
      <c r="C11" s="141">
        <v>-0.09</v>
      </c>
      <c r="D11" s="141">
        <v>-0.1</v>
      </c>
      <c r="E11" s="141">
        <v>-0.1</v>
      </c>
      <c r="F11" s="141">
        <v>20.81</v>
      </c>
      <c r="G11" s="141">
        <v>44.81</v>
      </c>
      <c r="H11" s="141">
        <v>52.74</v>
      </c>
      <c r="I11" s="141">
        <v>55.32</v>
      </c>
      <c r="J11" s="141">
        <v>5</v>
      </c>
      <c r="K11" s="141">
        <v>0</v>
      </c>
      <c r="L11" s="141">
        <v>-0.06</v>
      </c>
      <c r="M11" s="141">
        <v>-0.04</v>
      </c>
      <c r="N11" s="141">
        <v>-0.06</v>
      </c>
      <c r="O11" s="168">
        <f>SUM(C11:N11)</f>
        <v>178.23</v>
      </c>
    </row>
    <row r="12" spans="1:17" ht="15" x14ac:dyDescent="0.2">
      <c r="B12" s="169" t="s">
        <v>127</v>
      </c>
      <c r="C12" s="170">
        <f>C8+C10+C11</f>
        <v>-0.14000000000000001</v>
      </c>
      <c r="D12" s="170">
        <f>D8+D10+D11</f>
        <v>-0.18</v>
      </c>
      <c r="E12" s="170">
        <f>E8+E10+E11</f>
        <v>-0.15000000000000002</v>
      </c>
      <c r="F12" s="170">
        <f>F8+F10+F11</f>
        <v>36.29</v>
      </c>
      <c r="G12" s="170">
        <f t="shared" ref="G12:H12" si="0">G8+G10</f>
        <v>44.52</v>
      </c>
      <c r="H12" s="170">
        <f t="shared" si="0"/>
        <v>35.229999999999997</v>
      </c>
      <c r="I12" s="170">
        <f t="shared" ref="I12:N12" si="1">I8+I10+I11</f>
        <v>115.17</v>
      </c>
      <c r="J12" s="170">
        <f t="shared" si="1"/>
        <v>14.11</v>
      </c>
      <c r="K12" s="170">
        <f t="shared" si="1"/>
        <v>-0.14000000000000001</v>
      </c>
      <c r="L12" s="170">
        <f t="shared" si="1"/>
        <v>-0.13</v>
      </c>
      <c r="M12" s="170">
        <f t="shared" si="1"/>
        <v>-0.2</v>
      </c>
      <c r="N12" s="170">
        <f t="shared" si="1"/>
        <v>-0.22</v>
      </c>
      <c r="O12" s="170">
        <f>SUM(O8:O11)</f>
        <v>341.71</v>
      </c>
    </row>
    <row r="13" spans="1:17" ht="16.5" x14ac:dyDescent="0.2">
      <c r="B13" s="24"/>
      <c r="C13" s="73"/>
      <c r="D13" s="73"/>
      <c r="E13" s="73"/>
      <c r="F13" s="73"/>
      <c r="G13" s="73"/>
      <c r="H13" s="73"/>
      <c r="I13" s="86"/>
    </row>
    <row r="14" spans="1:17" ht="16.5" x14ac:dyDescent="0.2">
      <c r="B14" s="24" t="s">
        <v>307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35"/>
      <c r="P14" s="86"/>
    </row>
    <row r="15" spans="1:17" ht="16.5" x14ac:dyDescent="0.2">
      <c r="A15" s="5" t="s">
        <v>272</v>
      </c>
      <c r="B15" s="24" t="s">
        <v>5</v>
      </c>
      <c r="C15" s="25"/>
      <c r="D15" s="25"/>
      <c r="O15" s="25"/>
      <c r="P15" s="86"/>
    </row>
    <row r="16" spans="1:17" ht="18.75" customHeight="1" x14ac:dyDescent="0.2">
      <c r="B16" s="233" t="s">
        <v>274</v>
      </c>
      <c r="C16" s="252" t="s">
        <v>141</v>
      </c>
      <c r="D16" s="248"/>
      <c r="E16" s="248"/>
      <c r="F16" s="248"/>
      <c r="G16" s="248"/>
      <c r="H16" s="249"/>
      <c r="I16" s="252" t="s">
        <v>5</v>
      </c>
      <c r="J16" s="248"/>
      <c r="K16" s="248"/>
      <c r="L16" s="248"/>
      <c r="M16" s="248"/>
      <c r="N16" s="249"/>
      <c r="O16" s="166" t="s">
        <v>142</v>
      </c>
      <c r="P16" s="86"/>
      <c r="Q16" s="86"/>
    </row>
    <row r="17" spans="2:16" ht="15" x14ac:dyDescent="0.2">
      <c r="B17" s="235"/>
      <c r="C17" s="166" t="s">
        <v>129</v>
      </c>
      <c r="D17" s="166" t="s">
        <v>130</v>
      </c>
      <c r="E17" s="167" t="s">
        <v>131</v>
      </c>
      <c r="F17" s="167" t="s">
        <v>132</v>
      </c>
      <c r="G17" s="167" t="s">
        <v>133</v>
      </c>
      <c r="H17" s="167" t="s">
        <v>134</v>
      </c>
      <c r="I17" s="167" t="s">
        <v>135</v>
      </c>
      <c r="J17" s="167" t="s">
        <v>136</v>
      </c>
      <c r="K17" s="167" t="s">
        <v>137</v>
      </c>
      <c r="L17" s="167" t="s">
        <v>138</v>
      </c>
      <c r="M17" s="167" t="s">
        <v>139</v>
      </c>
      <c r="N17" s="167" t="s">
        <v>140</v>
      </c>
      <c r="O17" s="171"/>
    </row>
    <row r="18" spans="2:16" s="32" customFormat="1" ht="15" x14ac:dyDescent="0.2">
      <c r="B18" s="142" t="s">
        <v>351</v>
      </c>
      <c r="C18" s="141">
        <f>-0.11*0.7055</f>
        <v>-7.7605000000000007E-2</v>
      </c>
      <c r="D18" s="141">
        <f>3.74*0.7055</f>
        <v>2.6385700000000001</v>
      </c>
      <c r="E18" s="141">
        <f>37.55*0.7055</f>
        <v>26.491524999999999</v>
      </c>
      <c r="F18" s="141">
        <f>52.49*0.7055</f>
        <v>37.031694999999999</v>
      </c>
      <c r="G18" s="141">
        <f>28.07*0.7055</f>
        <v>19.803385000000002</v>
      </c>
      <c r="H18" s="141">
        <f>53.6*0.7055</f>
        <v>37.814800000000005</v>
      </c>
      <c r="I18" s="172">
        <v>31.159043973345227</v>
      </c>
      <c r="J18" s="172">
        <v>5.4464600000000001</v>
      </c>
      <c r="K18" s="172">
        <v>0.21165</v>
      </c>
      <c r="L18" s="172">
        <v>0</v>
      </c>
      <c r="M18" s="172">
        <v>0</v>
      </c>
      <c r="N18" s="172">
        <v>0</v>
      </c>
      <c r="O18" s="141">
        <f>SUM(C18:N18)</f>
        <v>160.51952397334523</v>
      </c>
    </row>
    <row r="19" spans="2:16" s="32" customFormat="1" ht="15" x14ac:dyDescent="0.2">
      <c r="B19" s="142"/>
      <c r="C19" s="141"/>
      <c r="D19" s="141"/>
      <c r="E19" s="141"/>
      <c r="F19" s="141"/>
      <c r="G19" s="141"/>
      <c r="H19" s="141"/>
      <c r="I19" s="172"/>
      <c r="J19" s="172"/>
      <c r="K19" s="172"/>
      <c r="L19" s="172"/>
      <c r="M19" s="172"/>
      <c r="N19" s="172"/>
      <c r="O19" s="141"/>
    </row>
    <row r="20" spans="2:16" s="32" customFormat="1" ht="15" x14ac:dyDescent="0.2">
      <c r="B20" s="142" t="s">
        <v>352</v>
      </c>
      <c r="C20" s="141">
        <f>-0.11*0.2945</f>
        <v>-3.2395E-2</v>
      </c>
      <c r="D20" s="141">
        <f>3.74*0.2945</f>
        <v>1.1014299999999999</v>
      </c>
      <c r="E20" s="141">
        <f>37.55*0.2945</f>
        <v>11.058474999999998</v>
      </c>
      <c r="F20" s="141">
        <f>52.49*0.2945</f>
        <v>15.458304999999999</v>
      </c>
      <c r="G20" s="141">
        <f>28.07*0.2945</f>
        <v>8.2666149999999998</v>
      </c>
      <c r="H20" s="141">
        <f>53.6*0.2945</f>
        <v>15.7852</v>
      </c>
      <c r="I20" s="172">
        <v>13.006858185896768</v>
      </c>
      <c r="J20" s="172">
        <v>6.6953031485474508</v>
      </c>
      <c r="K20" s="172">
        <v>8.8256268776307281E-2</v>
      </c>
      <c r="L20" s="172">
        <v>0</v>
      </c>
      <c r="M20" s="172">
        <v>0</v>
      </c>
      <c r="N20" s="172">
        <v>0</v>
      </c>
      <c r="O20" s="141">
        <f>SUM(C20:N20)</f>
        <v>71.42804760322052</v>
      </c>
    </row>
    <row r="21" spans="2:16" s="32" customFormat="1" ht="15" x14ac:dyDescent="0.2">
      <c r="B21" s="142" t="s">
        <v>350</v>
      </c>
      <c r="C21" s="141">
        <v>-7.0000000000000007E-2</v>
      </c>
      <c r="D21" s="141">
        <v>-0.09</v>
      </c>
      <c r="E21" s="141">
        <v>32.840000000000003</v>
      </c>
      <c r="F21" s="141">
        <v>51.61</v>
      </c>
      <c r="G21" s="141">
        <v>59.16</v>
      </c>
      <c r="H21" s="141">
        <v>50.9024</v>
      </c>
      <c r="I21" s="172">
        <v>44.165902159241995</v>
      </c>
      <c r="J21" s="172">
        <v>22.734475886409001</v>
      </c>
      <c r="K21" s="172">
        <v>0.29968172759357314</v>
      </c>
      <c r="L21" s="172">
        <v>0</v>
      </c>
      <c r="M21" s="172">
        <v>0</v>
      </c>
      <c r="N21" s="172">
        <v>0</v>
      </c>
      <c r="O21" s="141">
        <f>SUM(C21:N21)</f>
        <v>261.55245977324455</v>
      </c>
    </row>
    <row r="22" spans="2:16" ht="15" x14ac:dyDescent="0.2">
      <c r="B22" s="169" t="s">
        <v>127</v>
      </c>
      <c r="C22" s="170">
        <f>C18+C20+C21</f>
        <v>-0.18000000000000002</v>
      </c>
      <c r="D22" s="170">
        <f t="shared" ref="D22:N22" si="2">D18+D20+D21</f>
        <v>3.6500000000000004</v>
      </c>
      <c r="E22" s="170">
        <f t="shared" si="2"/>
        <v>70.39</v>
      </c>
      <c r="F22" s="170">
        <f t="shared" si="2"/>
        <v>104.1</v>
      </c>
      <c r="G22" s="170">
        <f t="shared" si="2"/>
        <v>87.22999999999999</v>
      </c>
      <c r="H22" s="170">
        <f t="shared" si="2"/>
        <v>104.50240000000001</v>
      </c>
      <c r="I22" s="170">
        <f t="shared" si="2"/>
        <v>88.331804318483989</v>
      </c>
      <c r="J22" s="170">
        <f t="shared" si="2"/>
        <v>34.876239034956455</v>
      </c>
      <c r="K22" s="170">
        <f t="shared" si="2"/>
        <v>0.59958799636988047</v>
      </c>
      <c r="L22" s="170">
        <f t="shared" si="2"/>
        <v>0</v>
      </c>
      <c r="M22" s="170">
        <f t="shared" si="2"/>
        <v>0</v>
      </c>
      <c r="N22" s="170">
        <f t="shared" si="2"/>
        <v>0</v>
      </c>
      <c r="O22" s="170">
        <f>SUM(O18:O21)</f>
        <v>493.50003134981029</v>
      </c>
    </row>
    <row r="24" spans="2:16" ht="16.5" x14ac:dyDescent="0.2">
      <c r="B24" s="24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35"/>
      <c r="P24" s="86"/>
    </row>
    <row r="25" spans="2:16" ht="15" x14ac:dyDescent="0.2">
      <c r="B25" s="24" t="s">
        <v>332</v>
      </c>
      <c r="C25" s="73"/>
      <c r="D25" s="73"/>
      <c r="E25" s="73"/>
      <c r="F25" s="73"/>
      <c r="G25" s="73"/>
      <c r="H25" s="73"/>
      <c r="I25" s="35"/>
    </row>
    <row r="26" spans="2:16" ht="15" x14ac:dyDescent="0.2">
      <c r="B26" s="24" t="s">
        <v>8</v>
      </c>
      <c r="C26" s="25"/>
      <c r="D26" s="25"/>
      <c r="O26" s="25"/>
    </row>
    <row r="27" spans="2:16" ht="15" x14ac:dyDescent="0.2">
      <c r="B27" s="166" t="s">
        <v>274</v>
      </c>
      <c r="C27" s="166" t="s">
        <v>129</v>
      </c>
      <c r="D27" s="166" t="s">
        <v>130</v>
      </c>
      <c r="E27" s="167" t="s">
        <v>131</v>
      </c>
      <c r="F27" s="167" t="s">
        <v>132</v>
      </c>
      <c r="G27" s="167" t="s">
        <v>133</v>
      </c>
      <c r="H27" s="167" t="s">
        <v>134</v>
      </c>
      <c r="I27" s="167" t="s">
        <v>135</v>
      </c>
      <c r="J27" s="167" t="s">
        <v>136</v>
      </c>
      <c r="K27" s="167" t="s">
        <v>137</v>
      </c>
      <c r="L27" s="167" t="s">
        <v>138</v>
      </c>
      <c r="M27" s="167" t="s">
        <v>139</v>
      </c>
      <c r="N27" s="167" t="s">
        <v>140</v>
      </c>
      <c r="O27" s="167" t="s">
        <v>127</v>
      </c>
    </row>
    <row r="28" spans="2:16" ht="15" x14ac:dyDescent="0.2">
      <c r="B28" s="142" t="s">
        <v>351</v>
      </c>
      <c r="C28" s="172">
        <v>0</v>
      </c>
      <c r="D28" s="172">
        <v>0.18224476051294633</v>
      </c>
      <c r="E28" s="172">
        <v>3.3943086645536251</v>
      </c>
      <c r="F28" s="172">
        <v>17.295649061634901</v>
      </c>
      <c r="G28" s="172">
        <v>27.672210113340785</v>
      </c>
      <c r="H28" s="172">
        <v>31.264986083377263</v>
      </c>
      <c r="I28" s="172">
        <v>27.915893448420594</v>
      </c>
      <c r="J28" s="172">
        <v>5.978870722737228</v>
      </c>
      <c r="K28" s="172">
        <v>0.23125755595392816</v>
      </c>
      <c r="L28" s="172">
        <v>0</v>
      </c>
      <c r="M28" s="172">
        <v>0</v>
      </c>
      <c r="N28" s="172">
        <v>0</v>
      </c>
      <c r="O28" s="141">
        <f>SUM(C28:N28)</f>
        <v>113.93542041053126</v>
      </c>
    </row>
    <row r="29" spans="2:16" ht="15" x14ac:dyDescent="0.2">
      <c r="B29" s="14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  <c r="O29" s="169"/>
    </row>
    <row r="30" spans="2:16" ht="15" x14ac:dyDescent="0.2">
      <c r="B30" s="142" t="s">
        <v>352</v>
      </c>
      <c r="C30" s="172">
        <v>0</v>
      </c>
      <c r="D30" s="172">
        <v>7.6075240214121459E-2</v>
      </c>
      <c r="E30" s="172">
        <v>1.416901348988012</v>
      </c>
      <c r="F30" s="172">
        <v>7.2197996437299476</v>
      </c>
      <c r="G30" s="172">
        <v>11.551333633421489</v>
      </c>
      <c r="H30" s="172">
        <v>13.051082071657836</v>
      </c>
      <c r="I30" s="172">
        <v>11.653055450829006</v>
      </c>
      <c r="J30" s="172">
        <v>2.4957865738428255</v>
      </c>
      <c r="K30" s="172">
        <v>9.6534869211101118E-2</v>
      </c>
      <c r="L30" s="172">
        <v>0</v>
      </c>
      <c r="M30" s="172">
        <v>0</v>
      </c>
      <c r="N30" s="172">
        <v>0</v>
      </c>
      <c r="O30" s="141">
        <f>SUM(C30:N30)</f>
        <v>47.560568831894344</v>
      </c>
    </row>
    <row r="31" spans="2:16" ht="15" x14ac:dyDescent="0.2">
      <c r="B31" s="142" t="s">
        <v>350</v>
      </c>
      <c r="C31" s="173">
        <v>0</v>
      </c>
      <c r="D31" s="172">
        <v>0.25832000072706779</v>
      </c>
      <c r="E31" s="172">
        <v>4.8112100135416371</v>
      </c>
      <c r="F31" s="172">
        <v>24.51544870536485</v>
      </c>
      <c r="G31" s="172">
        <v>39.223543746762275</v>
      </c>
      <c r="H31" s="172">
        <v>44.316068155035097</v>
      </c>
      <c r="I31" s="172">
        <v>39.568948899249598</v>
      </c>
      <c r="J31" s="172">
        <v>8.4746572965800535</v>
      </c>
      <c r="K31" s="172">
        <v>0.32779242516502927</v>
      </c>
      <c r="L31" s="173">
        <v>0</v>
      </c>
      <c r="M31" s="173">
        <v>0</v>
      </c>
      <c r="N31" s="173">
        <v>0</v>
      </c>
      <c r="O31" s="141">
        <f>SUM(C31:N31)</f>
        <v>161.49598924242562</v>
      </c>
    </row>
    <row r="32" spans="2:16" ht="15" x14ac:dyDescent="0.2">
      <c r="B32" s="169" t="s">
        <v>127</v>
      </c>
      <c r="C32" s="174">
        <f>C28+C30+C31</f>
        <v>0</v>
      </c>
      <c r="D32" s="174">
        <f t="shared" ref="D32:N32" si="3">D28+D30+D31</f>
        <v>0.51664000145413558</v>
      </c>
      <c r="E32" s="174">
        <f t="shared" si="3"/>
        <v>9.6224200270832743</v>
      </c>
      <c r="F32" s="174">
        <f t="shared" si="3"/>
        <v>49.030897410729693</v>
      </c>
      <c r="G32" s="174">
        <f t="shared" si="3"/>
        <v>78.447087493524549</v>
      </c>
      <c r="H32" s="174">
        <f t="shared" si="3"/>
        <v>88.632136310070194</v>
      </c>
      <c r="I32" s="174">
        <f t="shared" si="3"/>
        <v>79.137897798499196</v>
      </c>
      <c r="J32" s="174">
        <f t="shared" si="3"/>
        <v>16.949314593160107</v>
      </c>
      <c r="K32" s="174">
        <f t="shared" si="3"/>
        <v>0.65558485033005853</v>
      </c>
      <c r="L32" s="174">
        <f t="shared" si="3"/>
        <v>0</v>
      </c>
      <c r="M32" s="174">
        <f t="shared" si="3"/>
        <v>0</v>
      </c>
      <c r="N32" s="174">
        <f t="shared" si="3"/>
        <v>0</v>
      </c>
      <c r="O32" s="170">
        <f>SUM(O28:O31)</f>
        <v>322.99197848485119</v>
      </c>
    </row>
  </sheetData>
  <mergeCells count="3">
    <mergeCell ref="B16:B17"/>
    <mergeCell ref="I16:N16"/>
    <mergeCell ref="C16:H16"/>
  </mergeCells>
  <pageMargins left="0.13" right="0.33" top="1" bottom="0.37" header="0.5" footer="0.5"/>
  <pageSetup paperSize="9" scale="83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showGridLines="0" view="pageBreakPreview" topLeftCell="A5" zoomScaleNormal="93" zoomScaleSheetLayoutView="100" workbookViewId="0">
      <selection activeCell="P16" sqref="P16"/>
    </sheetView>
  </sheetViews>
  <sheetFormatPr defaultRowHeight="12.75" x14ac:dyDescent="0.2"/>
  <cols>
    <col min="1" max="1" width="7.28515625" customWidth="1"/>
    <col min="2" max="2" width="36.28515625" customWidth="1"/>
    <col min="3" max="3" width="11" customWidth="1"/>
    <col min="4" max="4" width="8.140625" customWidth="1"/>
    <col min="5" max="5" width="7.7109375" customWidth="1"/>
    <col min="6" max="6" width="7.85546875" customWidth="1"/>
    <col min="7" max="7" width="7.7109375" customWidth="1"/>
    <col min="8" max="8" width="8.28515625" customWidth="1"/>
    <col min="9" max="9" width="7.85546875" customWidth="1"/>
    <col min="16" max="16" width="9.140625" style="206"/>
  </cols>
  <sheetData>
    <row r="1" spans="1:16" ht="21.75" customHeight="1" x14ac:dyDescent="0.3">
      <c r="A1" s="253" t="s">
        <v>354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</row>
    <row r="2" spans="1:16" ht="17.25" x14ac:dyDescent="0.2">
      <c r="A2" s="184"/>
      <c r="B2" s="184"/>
      <c r="C2" s="184"/>
      <c r="D2" s="184"/>
      <c r="E2" s="184"/>
      <c r="F2" s="184"/>
      <c r="G2" s="185" t="s">
        <v>358</v>
      </c>
      <c r="H2" s="185" t="s">
        <v>355</v>
      </c>
      <c r="I2" s="184"/>
      <c r="J2" s="184"/>
      <c r="K2" s="184"/>
      <c r="L2" s="184"/>
      <c r="M2" s="184"/>
      <c r="N2" s="184"/>
      <c r="O2" s="184"/>
      <c r="P2" s="188"/>
    </row>
    <row r="3" spans="1:16" ht="17.25" x14ac:dyDescent="0.2">
      <c r="A3" s="184"/>
      <c r="B3" s="184"/>
      <c r="C3" s="184"/>
      <c r="D3" s="184"/>
      <c r="E3" s="184"/>
      <c r="F3" s="184"/>
      <c r="G3" s="184"/>
      <c r="H3" s="186" t="s">
        <v>277</v>
      </c>
      <c r="I3" s="184"/>
      <c r="J3" s="184"/>
      <c r="K3" s="184"/>
      <c r="L3" s="184"/>
      <c r="M3" s="184"/>
      <c r="N3" s="184"/>
      <c r="O3" s="184"/>
      <c r="P3" s="188"/>
    </row>
    <row r="4" spans="1:16" ht="17.25" x14ac:dyDescent="0.2">
      <c r="A4" s="187" t="s">
        <v>356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8"/>
    </row>
    <row r="5" spans="1:16" ht="17.25" x14ac:dyDescent="0.2">
      <c r="A5" s="188" t="s">
        <v>12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8"/>
    </row>
    <row r="6" spans="1:16" ht="17.25" x14ac:dyDescent="0.2">
      <c r="A6" s="189" t="s">
        <v>169</v>
      </c>
      <c r="B6" s="189" t="s">
        <v>18</v>
      </c>
      <c r="C6" s="189" t="s">
        <v>39</v>
      </c>
      <c r="D6" s="190" t="s">
        <v>129</v>
      </c>
      <c r="E6" s="190" t="s">
        <v>130</v>
      </c>
      <c r="F6" s="191" t="s">
        <v>131</v>
      </c>
      <c r="G6" s="191" t="s">
        <v>132</v>
      </c>
      <c r="H6" s="191" t="s">
        <v>133</v>
      </c>
      <c r="I6" s="191" t="s">
        <v>134</v>
      </c>
      <c r="J6" s="191" t="s">
        <v>135</v>
      </c>
      <c r="K6" s="191" t="s">
        <v>136</v>
      </c>
      <c r="L6" s="191" t="s">
        <v>137</v>
      </c>
      <c r="M6" s="191" t="s">
        <v>138</v>
      </c>
      <c r="N6" s="191" t="s">
        <v>139</v>
      </c>
      <c r="O6" s="191" t="s">
        <v>140</v>
      </c>
      <c r="P6" s="192" t="s">
        <v>127</v>
      </c>
    </row>
    <row r="7" spans="1:16" ht="22.5" customHeight="1" x14ac:dyDescent="0.2">
      <c r="A7" s="193">
        <v>1</v>
      </c>
      <c r="B7" s="194" t="s">
        <v>152</v>
      </c>
      <c r="C7" s="193" t="s">
        <v>40</v>
      </c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198"/>
    </row>
    <row r="8" spans="1:16" ht="24" customHeight="1" x14ac:dyDescent="0.2">
      <c r="A8" s="193">
        <f t="shared" ref="A8:A25" si="0">A7+1</f>
        <v>2</v>
      </c>
      <c r="B8" s="194" t="s">
        <v>170</v>
      </c>
      <c r="C8" s="193" t="s">
        <v>40</v>
      </c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198"/>
    </row>
    <row r="9" spans="1:16" ht="20.25" customHeight="1" x14ac:dyDescent="0.2">
      <c r="A9" s="193">
        <f t="shared" si="0"/>
        <v>3</v>
      </c>
      <c r="B9" s="194" t="s">
        <v>171</v>
      </c>
      <c r="C9" s="193" t="s">
        <v>40</v>
      </c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198"/>
    </row>
    <row r="10" spans="1:16" ht="20.25" customHeight="1" x14ac:dyDescent="0.2">
      <c r="A10" s="193">
        <f t="shared" si="0"/>
        <v>4</v>
      </c>
      <c r="B10" s="194" t="s">
        <v>41</v>
      </c>
      <c r="C10" s="193" t="s">
        <v>40</v>
      </c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198"/>
    </row>
    <row r="11" spans="1:16" ht="21.75" customHeight="1" x14ac:dyDescent="0.2">
      <c r="A11" s="193">
        <f t="shared" si="0"/>
        <v>5</v>
      </c>
      <c r="B11" s="194" t="s">
        <v>172</v>
      </c>
      <c r="C11" s="193" t="s">
        <v>40</v>
      </c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198"/>
    </row>
    <row r="12" spans="1:16" ht="18" customHeight="1" x14ac:dyDescent="0.2">
      <c r="A12" s="193">
        <f t="shared" si="0"/>
        <v>6</v>
      </c>
      <c r="B12" s="194" t="s">
        <v>173</v>
      </c>
      <c r="C12" s="193" t="s">
        <v>40</v>
      </c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198"/>
    </row>
    <row r="13" spans="1:16" ht="23.25" customHeight="1" x14ac:dyDescent="0.2">
      <c r="A13" s="193">
        <f t="shared" si="0"/>
        <v>7</v>
      </c>
      <c r="B13" s="195" t="s">
        <v>174</v>
      </c>
      <c r="C13" s="196" t="s">
        <v>42</v>
      </c>
      <c r="D13" s="200">
        <v>0</v>
      </c>
      <c r="E13" s="200">
        <v>0</v>
      </c>
      <c r="F13" s="200">
        <v>0.03</v>
      </c>
      <c r="G13" s="200">
        <v>36.58</v>
      </c>
      <c r="H13" s="200">
        <v>89.85</v>
      </c>
      <c r="I13" s="200">
        <v>88.31</v>
      </c>
      <c r="J13" s="200">
        <v>115.65</v>
      </c>
      <c r="K13" s="200">
        <v>14.11</v>
      </c>
      <c r="L13" s="200">
        <v>0</v>
      </c>
      <c r="M13" s="200">
        <v>0</v>
      </c>
      <c r="N13" s="200">
        <v>0</v>
      </c>
      <c r="O13" s="200">
        <v>0</v>
      </c>
      <c r="P13" s="198">
        <f>SUM(D13:O13)</f>
        <v>344.53</v>
      </c>
    </row>
    <row r="14" spans="1:16" ht="23.25" customHeight="1" x14ac:dyDescent="0.2">
      <c r="A14" s="193">
        <f t="shared" si="0"/>
        <v>8</v>
      </c>
      <c r="B14" s="195" t="s">
        <v>175</v>
      </c>
      <c r="C14" s="196" t="s">
        <v>42</v>
      </c>
      <c r="D14" s="200">
        <v>0.14000000000000001</v>
      </c>
      <c r="E14" s="200">
        <v>0.18</v>
      </c>
      <c r="F14" s="200">
        <v>0.18</v>
      </c>
      <c r="G14" s="200">
        <v>0.3</v>
      </c>
      <c r="H14" s="200">
        <v>0.52</v>
      </c>
      <c r="I14" s="200">
        <v>0.34</v>
      </c>
      <c r="J14" s="200">
        <v>0.49</v>
      </c>
      <c r="K14" s="200">
        <v>0.25</v>
      </c>
      <c r="L14" s="200">
        <v>0.2</v>
      </c>
      <c r="M14" s="200">
        <v>0.13</v>
      </c>
      <c r="N14" s="200">
        <v>0.2</v>
      </c>
      <c r="O14" s="200">
        <v>0.22</v>
      </c>
      <c r="P14" s="198">
        <f t="shared" ref="P14:P15" si="1">SUM(D14:O14)</f>
        <v>3.1500000000000008</v>
      </c>
    </row>
    <row r="15" spans="1:16" ht="18" customHeight="1" x14ac:dyDescent="0.2">
      <c r="A15" s="193">
        <f t="shared" si="0"/>
        <v>9</v>
      </c>
      <c r="B15" s="195" t="s">
        <v>189</v>
      </c>
      <c r="C15" s="196" t="s">
        <v>42</v>
      </c>
      <c r="D15" s="200">
        <f>D13-D14</f>
        <v>-0.14000000000000001</v>
      </c>
      <c r="E15" s="200">
        <f t="shared" ref="E15:O15" si="2">E13-E14</f>
        <v>-0.18</v>
      </c>
      <c r="F15" s="200">
        <f t="shared" si="2"/>
        <v>-0.15</v>
      </c>
      <c r="G15" s="200">
        <f t="shared" si="2"/>
        <v>36.28</v>
      </c>
      <c r="H15" s="200">
        <f t="shared" si="2"/>
        <v>89.33</v>
      </c>
      <c r="I15" s="200">
        <f t="shared" si="2"/>
        <v>87.97</v>
      </c>
      <c r="J15" s="200">
        <f t="shared" si="2"/>
        <v>115.16000000000001</v>
      </c>
      <c r="K15" s="200">
        <f t="shared" si="2"/>
        <v>13.86</v>
      </c>
      <c r="L15" s="200">
        <f t="shared" si="2"/>
        <v>-0.2</v>
      </c>
      <c r="M15" s="200">
        <f t="shared" si="2"/>
        <v>-0.13</v>
      </c>
      <c r="N15" s="200">
        <f t="shared" si="2"/>
        <v>-0.2</v>
      </c>
      <c r="O15" s="200">
        <f t="shared" si="2"/>
        <v>-0.22</v>
      </c>
      <c r="P15" s="198">
        <f t="shared" si="1"/>
        <v>341.38000000000005</v>
      </c>
    </row>
    <row r="16" spans="1:16" ht="21.75" customHeight="1" x14ac:dyDescent="0.2">
      <c r="A16" s="193">
        <f t="shared" si="0"/>
        <v>10</v>
      </c>
      <c r="B16" s="195" t="s">
        <v>190</v>
      </c>
      <c r="C16" s="196" t="s">
        <v>42</v>
      </c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4"/>
    </row>
    <row r="17" spans="1:16" ht="20.25" customHeight="1" x14ac:dyDescent="0.2">
      <c r="A17" s="193">
        <f t="shared" si="0"/>
        <v>11</v>
      </c>
      <c r="B17" s="195" t="s">
        <v>176</v>
      </c>
      <c r="C17" s="196" t="s">
        <v>180</v>
      </c>
      <c r="D17" s="203">
        <v>0</v>
      </c>
      <c r="E17" s="203">
        <v>0</v>
      </c>
      <c r="F17" s="203">
        <v>0</v>
      </c>
      <c r="G17" s="203">
        <v>0</v>
      </c>
      <c r="H17" s="203">
        <v>0</v>
      </c>
      <c r="I17" s="203">
        <v>0</v>
      </c>
      <c r="J17" s="203">
        <v>0</v>
      </c>
      <c r="K17" s="203">
        <v>0</v>
      </c>
      <c r="L17" s="203">
        <v>0</v>
      </c>
      <c r="M17" s="203">
        <v>0</v>
      </c>
      <c r="N17" s="203">
        <v>0</v>
      </c>
      <c r="O17" s="203">
        <v>0</v>
      </c>
      <c r="P17" s="205">
        <v>0</v>
      </c>
    </row>
    <row r="18" spans="1:16" ht="21" customHeight="1" x14ac:dyDescent="0.2">
      <c r="A18" s="193">
        <f t="shared" si="0"/>
        <v>12</v>
      </c>
      <c r="B18" s="195" t="s">
        <v>191</v>
      </c>
      <c r="C18" s="196" t="s">
        <v>181</v>
      </c>
      <c r="D18" s="200">
        <v>7.5341665999999998</v>
      </c>
      <c r="E18" s="200">
        <v>7.5341665999999998</v>
      </c>
      <c r="F18" s="200">
        <v>7.5341665999999998</v>
      </c>
      <c r="G18" s="200">
        <v>7.5341665999999998</v>
      </c>
      <c r="H18" s="200">
        <v>7.5341665999999998</v>
      </c>
      <c r="I18" s="200">
        <v>7.5341665999999998</v>
      </c>
      <c r="J18" s="200">
        <v>7.5341665999999998</v>
      </c>
      <c r="K18" s="200">
        <v>7.5341665999999998</v>
      </c>
      <c r="L18" s="200">
        <v>7.5341665999999998</v>
      </c>
      <c r="M18" s="200">
        <v>7.5341665999999998</v>
      </c>
      <c r="N18" s="200">
        <v>7.5341665999999998</v>
      </c>
      <c r="O18" s="200">
        <v>7.5341665999999998</v>
      </c>
      <c r="P18" s="198">
        <f>SUM(D18:O18)</f>
        <v>90.409999200000016</v>
      </c>
    </row>
    <row r="19" spans="1:16" ht="18.75" customHeight="1" x14ac:dyDescent="0.2">
      <c r="A19" s="193">
        <f t="shared" si="0"/>
        <v>13</v>
      </c>
      <c r="B19" s="195" t="s">
        <v>275</v>
      </c>
      <c r="C19" s="196" t="s">
        <v>180</v>
      </c>
      <c r="D19" s="203">
        <v>0</v>
      </c>
      <c r="E19" s="203">
        <v>0</v>
      </c>
      <c r="F19" s="203">
        <v>0</v>
      </c>
      <c r="G19" s="203">
        <v>0</v>
      </c>
      <c r="H19" s="203">
        <v>0</v>
      </c>
      <c r="I19" s="203">
        <v>0</v>
      </c>
      <c r="J19" s="203">
        <v>0</v>
      </c>
      <c r="K19" s="203">
        <v>0</v>
      </c>
      <c r="L19" s="203">
        <v>0</v>
      </c>
      <c r="M19" s="203">
        <v>0</v>
      </c>
      <c r="N19" s="203">
        <v>0</v>
      </c>
      <c r="O19" s="203">
        <v>0</v>
      </c>
      <c r="P19" s="205">
        <v>0</v>
      </c>
    </row>
    <row r="20" spans="1:16" ht="20.25" customHeight="1" x14ac:dyDescent="0.2">
      <c r="A20" s="193">
        <f t="shared" si="0"/>
        <v>14</v>
      </c>
      <c r="B20" s="195" t="s">
        <v>177</v>
      </c>
      <c r="C20" s="196" t="s">
        <v>181</v>
      </c>
      <c r="D20" s="200">
        <v>7.5341665999999998</v>
      </c>
      <c r="E20" s="200">
        <v>7.5341665999999998</v>
      </c>
      <c r="F20" s="200">
        <v>7.5341665999999998</v>
      </c>
      <c r="G20" s="200">
        <v>7.5341665999999998</v>
      </c>
      <c r="H20" s="200">
        <v>7.5341665999999998</v>
      </c>
      <c r="I20" s="200">
        <v>7.5341665999999998</v>
      </c>
      <c r="J20" s="200">
        <v>7.5341665999999998</v>
      </c>
      <c r="K20" s="200">
        <v>7.5341665999999998</v>
      </c>
      <c r="L20" s="200">
        <v>7.5341665999999998</v>
      </c>
      <c r="M20" s="200">
        <v>7.5341665999999998</v>
      </c>
      <c r="N20" s="200">
        <v>7.5341665999999998</v>
      </c>
      <c r="O20" s="200">
        <v>7.5341665999999998</v>
      </c>
      <c r="P20" s="198">
        <f>SUM(D20:O20)</f>
        <v>90.409999200000016</v>
      </c>
    </row>
    <row r="21" spans="1:16" ht="24" customHeight="1" x14ac:dyDescent="0.2">
      <c r="A21" s="193">
        <f t="shared" si="0"/>
        <v>15</v>
      </c>
      <c r="B21" s="195" t="s">
        <v>276</v>
      </c>
      <c r="C21" s="196" t="s">
        <v>181</v>
      </c>
      <c r="D21" s="203">
        <v>0</v>
      </c>
      <c r="E21" s="203">
        <v>0</v>
      </c>
      <c r="F21" s="203">
        <v>0</v>
      </c>
      <c r="G21" s="203">
        <v>0</v>
      </c>
      <c r="H21" s="203">
        <v>0</v>
      </c>
      <c r="I21" s="203">
        <v>0</v>
      </c>
      <c r="J21" s="203">
        <v>0</v>
      </c>
      <c r="K21" s="203">
        <v>0</v>
      </c>
      <c r="L21" s="203">
        <v>0</v>
      </c>
      <c r="M21" s="203">
        <v>0</v>
      </c>
      <c r="N21" s="203">
        <v>0</v>
      </c>
      <c r="O21" s="203">
        <v>0</v>
      </c>
      <c r="P21" s="205">
        <v>0</v>
      </c>
    </row>
    <row r="22" spans="1:16" ht="36" customHeight="1" x14ac:dyDescent="0.2">
      <c r="A22" s="193">
        <f t="shared" si="0"/>
        <v>16</v>
      </c>
      <c r="B22" s="195" t="s">
        <v>192</v>
      </c>
      <c r="C22" s="196" t="s">
        <v>181</v>
      </c>
      <c r="D22" s="203">
        <v>0</v>
      </c>
      <c r="E22" s="203">
        <v>0</v>
      </c>
      <c r="F22" s="203">
        <v>0</v>
      </c>
      <c r="G22" s="203">
        <v>0</v>
      </c>
      <c r="H22" s="203">
        <v>0</v>
      </c>
      <c r="I22" s="203">
        <v>0</v>
      </c>
      <c r="J22" s="203">
        <v>0</v>
      </c>
      <c r="K22" s="203">
        <v>0</v>
      </c>
      <c r="L22" s="203">
        <v>0</v>
      </c>
      <c r="M22" s="203">
        <v>0</v>
      </c>
      <c r="N22" s="203">
        <v>0</v>
      </c>
      <c r="O22" s="203">
        <v>0</v>
      </c>
      <c r="P22" s="205">
        <v>0</v>
      </c>
    </row>
    <row r="23" spans="1:16" ht="20.25" customHeight="1" x14ac:dyDescent="0.2">
      <c r="A23" s="193">
        <f t="shared" si="0"/>
        <v>17</v>
      </c>
      <c r="B23" s="195" t="s">
        <v>178</v>
      </c>
      <c r="C23" s="196" t="s">
        <v>181</v>
      </c>
      <c r="D23" s="203">
        <v>0</v>
      </c>
      <c r="E23" s="203">
        <v>0</v>
      </c>
      <c r="F23" s="203">
        <v>0</v>
      </c>
      <c r="G23" s="203">
        <v>0</v>
      </c>
      <c r="H23" s="203">
        <v>0</v>
      </c>
      <c r="I23" s="203">
        <v>0</v>
      </c>
      <c r="J23" s="203">
        <v>0</v>
      </c>
      <c r="K23" s="203">
        <v>0</v>
      </c>
      <c r="L23" s="203">
        <v>0</v>
      </c>
      <c r="M23" s="203">
        <v>0</v>
      </c>
      <c r="N23" s="203">
        <v>0</v>
      </c>
      <c r="O23" s="203">
        <v>0</v>
      </c>
      <c r="P23" s="205">
        <v>0</v>
      </c>
    </row>
    <row r="24" spans="1:16" ht="21.75" customHeight="1" x14ac:dyDescent="0.2">
      <c r="A24" s="193">
        <f t="shared" si="0"/>
        <v>18</v>
      </c>
      <c r="B24" s="197" t="s">
        <v>143</v>
      </c>
      <c r="C24" s="196" t="s">
        <v>181</v>
      </c>
      <c r="D24" s="198">
        <f>D20+D21+D22+D23</f>
        <v>7.5341665999999998</v>
      </c>
      <c r="E24" s="198">
        <f t="shared" ref="E24:O24" si="3">E20+E21+E22+E23</f>
        <v>7.5341665999999998</v>
      </c>
      <c r="F24" s="198">
        <f t="shared" si="3"/>
        <v>7.5341665999999998</v>
      </c>
      <c r="G24" s="198">
        <f t="shared" si="3"/>
        <v>7.5341665999999998</v>
      </c>
      <c r="H24" s="198">
        <f t="shared" si="3"/>
        <v>7.5341665999999998</v>
      </c>
      <c r="I24" s="198">
        <f t="shared" si="3"/>
        <v>7.5341665999999998</v>
      </c>
      <c r="J24" s="198">
        <f t="shared" si="3"/>
        <v>7.5341665999999998</v>
      </c>
      <c r="K24" s="198">
        <f t="shared" si="3"/>
        <v>7.5341665999999998</v>
      </c>
      <c r="L24" s="198">
        <f t="shared" si="3"/>
        <v>7.5341665999999998</v>
      </c>
      <c r="M24" s="198">
        <f t="shared" si="3"/>
        <v>7.5341665999999998</v>
      </c>
      <c r="N24" s="198">
        <f t="shared" si="3"/>
        <v>7.5341665999999998</v>
      </c>
      <c r="O24" s="198">
        <f t="shared" si="3"/>
        <v>7.5341665999999998</v>
      </c>
      <c r="P24" s="198">
        <f>SUM(D24:O24)</f>
        <v>90.409999200000016</v>
      </c>
    </row>
    <row r="25" spans="1:16" ht="18.75" customHeight="1" x14ac:dyDescent="0.2">
      <c r="A25" s="193">
        <f t="shared" si="0"/>
        <v>19</v>
      </c>
      <c r="B25" s="199" t="s">
        <v>179</v>
      </c>
      <c r="C25" s="196"/>
      <c r="D25" s="200"/>
      <c r="E25" s="200"/>
      <c r="F25" s="200"/>
      <c r="G25" s="200"/>
      <c r="H25" s="200"/>
      <c r="I25" s="200"/>
      <c r="J25" s="200"/>
      <c r="K25" s="200"/>
      <c r="L25" s="200"/>
      <c r="M25" s="200"/>
      <c r="N25" s="200"/>
      <c r="O25" s="200"/>
      <c r="P25" s="198"/>
    </row>
    <row r="26" spans="1:16" ht="21.75" customHeight="1" x14ac:dyDescent="0.2">
      <c r="A26" s="193"/>
      <c r="B26" s="195" t="s">
        <v>357</v>
      </c>
      <c r="C26" s="196" t="s">
        <v>181</v>
      </c>
      <c r="D26" s="200"/>
      <c r="E26" s="200"/>
      <c r="F26" s="200"/>
      <c r="G26" s="200"/>
      <c r="H26" s="200"/>
      <c r="I26" s="200"/>
      <c r="J26" s="200"/>
      <c r="K26" s="200"/>
      <c r="L26" s="200"/>
      <c r="M26" s="200"/>
      <c r="N26" s="200"/>
      <c r="O26" s="200"/>
      <c r="P26" s="198">
        <v>-0.01</v>
      </c>
    </row>
    <row r="27" spans="1:16" ht="29.25" customHeight="1" x14ac:dyDescent="0.2">
      <c r="A27" s="193"/>
      <c r="B27" s="195" t="s">
        <v>93</v>
      </c>
      <c r="C27" s="196" t="s">
        <v>181</v>
      </c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198">
        <v>7.1</v>
      </c>
    </row>
    <row r="28" spans="1:16" ht="28.5" customHeight="1" x14ac:dyDescent="0.2">
      <c r="A28" s="196">
        <f>A25+1</f>
        <v>20</v>
      </c>
      <c r="B28" s="201" t="s">
        <v>151</v>
      </c>
      <c r="C28" s="196" t="s">
        <v>181</v>
      </c>
      <c r="D28" s="198">
        <f>SUM(D24:D27)</f>
        <v>7.5341665999999998</v>
      </c>
      <c r="E28" s="198">
        <f t="shared" ref="E28:O28" si="4">SUM(E24:E27)</f>
        <v>7.5341665999999998</v>
      </c>
      <c r="F28" s="198">
        <f t="shared" si="4"/>
        <v>7.5341665999999998</v>
      </c>
      <c r="G28" s="198">
        <f t="shared" si="4"/>
        <v>7.5341665999999998</v>
      </c>
      <c r="H28" s="198">
        <f t="shared" si="4"/>
        <v>7.5341665999999998</v>
      </c>
      <c r="I28" s="198">
        <f t="shared" si="4"/>
        <v>7.5341665999999998</v>
      </c>
      <c r="J28" s="198">
        <f t="shared" si="4"/>
        <v>7.5341665999999998</v>
      </c>
      <c r="K28" s="198">
        <f t="shared" si="4"/>
        <v>7.5341665999999998</v>
      </c>
      <c r="L28" s="198">
        <f t="shared" si="4"/>
        <v>7.5341665999999998</v>
      </c>
      <c r="M28" s="198">
        <f t="shared" si="4"/>
        <v>7.5341665999999998</v>
      </c>
      <c r="N28" s="198">
        <f t="shared" si="4"/>
        <v>7.5341665999999998</v>
      </c>
      <c r="O28" s="198">
        <f t="shared" si="4"/>
        <v>7.5341665999999998</v>
      </c>
      <c r="P28" s="198">
        <f>P24+P26+P27</f>
        <v>97.499999200000005</v>
      </c>
    </row>
    <row r="29" spans="1:16" ht="30" customHeight="1" x14ac:dyDescent="0.2">
      <c r="A29" s="196">
        <f>A28+1</f>
        <v>21</v>
      </c>
      <c r="B29" s="199" t="s">
        <v>182</v>
      </c>
      <c r="C29" s="196" t="s">
        <v>181</v>
      </c>
      <c r="D29" s="200"/>
      <c r="E29" s="200"/>
      <c r="F29" s="200"/>
      <c r="G29" s="200"/>
      <c r="H29" s="200"/>
      <c r="I29" s="200"/>
      <c r="J29" s="200"/>
      <c r="K29" s="200"/>
      <c r="L29" s="200"/>
      <c r="M29" s="200"/>
      <c r="N29" s="200"/>
      <c r="O29" s="200"/>
      <c r="P29" s="198"/>
    </row>
  </sheetData>
  <mergeCells count="1">
    <mergeCell ref="A1:P1"/>
  </mergeCells>
  <pageMargins left="0.2" right="0.2" top="0.25" bottom="0.25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22"/>
  <sheetViews>
    <sheetView showGridLines="0" topLeftCell="F6" zoomScale="93" zoomScaleNormal="93" zoomScaleSheetLayoutView="91" workbookViewId="0">
      <selection activeCell="F10" sqref="F10:L21"/>
    </sheetView>
  </sheetViews>
  <sheetFormatPr defaultColWidth="9.28515625" defaultRowHeight="14.25" x14ac:dyDescent="0.2"/>
  <cols>
    <col min="1" max="1" width="3" style="13" customWidth="1"/>
    <col min="2" max="2" width="5.7109375" style="13" customWidth="1"/>
    <col min="3" max="3" width="37" style="13" customWidth="1"/>
    <col min="4" max="5" width="11.5703125" style="13" customWidth="1"/>
    <col min="6" max="6" width="12.7109375" style="13" customWidth="1"/>
    <col min="7" max="7" width="11" style="13" customWidth="1"/>
    <col min="8" max="8" width="12.140625" style="13" customWidth="1"/>
    <col min="9" max="9" width="13.42578125" style="13" customWidth="1"/>
    <col min="10" max="10" width="11.140625" style="13" customWidth="1"/>
    <col min="11" max="11" width="11.5703125" style="13" customWidth="1"/>
    <col min="12" max="12" width="13.5703125" style="13" customWidth="1"/>
    <col min="13" max="13" width="10.5703125" style="13" customWidth="1"/>
    <col min="14" max="16384" width="9.28515625" style="13"/>
  </cols>
  <sheetData>
    <row r="2" spans="2:13" ht="14.25" customHeight="1" x14ac:dyDescent="0.2">
      <c r="B2" s="217" t="s">
        <v>305</v>
      </c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2:13" ht="14.25" customHeight="1" x14ac:dyDescent="0.2">
      <c r="B3" s="217" t="s">
        <v>334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</row>
    <row r="4" spans="2:13" s="4" customFormat="1" ht="14.25" customHeight="1" x14ac:dyDescent="0.2">
      <c r="B4" s="213" t="s">
        <v>309</v>
      </c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</row>
    <row r="6" spans="2:13" ht="12.75" customHeight="1" x14ac:dyDescent="0.2">
      <c r="B6" s="221" t="s">
        <v>169</v>
      </c>
      <c r="C6" s="224" t="s">
        <v>18</v>
      </c>
      <c r="D6" s="218" t="s">
        <v>39</v>
      </c>
      <c r="E6" s="224" t="s">
        <v>1</v>
      </c>
      <c r="F6" s="228" t="s">
        <v>306</v>
      </c>
      <c r="G6" s="229"/>
      <c r="H6" s="230"/>
      <c r="I6" s="228" t="s">
        <v>307</v>
      </c>
      <c r="J6" s="230"/>
      <c r="K6" s="228" t="s">
        <v>332</v>
      </c>
      <c r="L6" s="230"/>
      <c r="M6" s="226" t="s">
        <v>11</v>
      </c>
    </row>
    <row r="7" spans="2:13" ht="60" customHeight="1" x14ac:dyDescent="0.2">
      <c r="B7" s="222"/>
      <c r="C7" s="224"/>
      <c r="D7" s="219"/>
      <c r="E7" s="224"/>
      <c r="F7" s="15" t="s">
        <v>278</v>
      </c>
      <c r="G7" s="15" t="s">
        <v>202</v>
      </c>
      <c r="H7" s="15" t="s">
        <v>331</v>
      </c>
      <c r="I7" s="15" t="s">
        <v>278</v>
      </c>
      <c r="J7" s="15" t="s">
        <v>204</v>
      </c>
      <c r="K7" s="15" t="s">
        <v>278</v>
      </c>
      <c r="L7" s="15" t="s">
        <v>204</v>
      </c>
      <c r="M7" s="226"/>
    </row>
    <row r="8" spans="2:13" ht="30" x14ac:dyDescent="0.2">
      <c r="B8" s="223"/>
      <c r="C8" s="225"/>
      <c r="D8" s="220"/>
      <c r="E8" s="225"/>
      <c r="F8" s="15" t="s">
        <v>10</v>
      </c>
      <c r="G8" s="15" t="s">
        <v>12</v>
      </c>
      <c r="H8" s="15" t="s">
        <v>203</v>
      </c>
      <c r="I8" s="15" t="s">
        <v>10</v>
      </c>
      <c r="J8" s="15" t="s">
        <v>328</v>
      </c>
      <c r="K8" s="15" t="s">
        <v>10</v>
      </c>
      <c r="L8" s="15" t="s">
        <v>328</v>
      </c>
      <c r="M8" s="227"/>
    </row>
    <row r="9" spans="2:13" ht="15" x14ac:dyDescent="0.2">
      <c r="B9" s="22" t="s">
        <v>55</v>
      </c>
      <c r="C9" s="23" t="s">
        <v>207</v>
      </c>
      <c r="D9" s="20"/>
      <c r="E9" s="20"/>
      <c r="F9" s="15"/>
      <c r="G9" s="15"/>
      <c r="H9" s="15"/>
      <c r="I9" s="15"/>
      <c r="J9" s="15"/>
      <c r="K9" s="15"/>
      <c r="L9" s="15"/>
      <c r="M9" s="21"/>
    </row>
    <row r="10" spans="2:13" ht="15" x14ac:dyDescent="0.2">
      <c r="B10" s="2">
        <v>1</v>
      </c>
      <c r="C10" s="3" t="s">
        <v>36</v>
      </c>
      <c r="D10" s="2" t="s">
        <v>181</v>
      </c>
      <c r="E10" s="17" t="s">
        <v>238</v>
      </c>
      <c r="F10" s="152">
        <f>'F2'!E14</f>
        <v>33.54</v>
      </c>
      <c r="G10" s="152">
        <f>'F2'!F14</f>
        <v>53.61</v>
      </c>
      <c r="H10" s="152">
        <f>'F2'!G14</f>
        <v>53.61</v>
      </c>
      <c r="I10" s="152">
        <f>'F2'!H14</f>
        <v>35.46</v>
      </c>
      <c r="J10" s="152">
        <f>'F2'!I14</f>
        <v>62.86</v>
      </c>
      <c r="K10" s="152">
        <f>'F2'!J14</f>
        <v>37.479999999999997</v>
      </c>
      <c r="L10" s="152">
        <f>'F2'!K14</f>
        <v>65.63</v>
      </c>
      <c r="M10" s="112"/>
    </row>
    <row r="11" spans="2:13" ht="15" x14ac:dyDescent="0.2">
      <c r="B11" s="2">
        <f t="shared" ref="B11:B16" si="0">B10+1</f>
        <v>2</v>
      </c>
      <c r="C11" s="18" t="s">
        <v>148</v>
      </c>
      <c r="D11" s="2" t="s">
        <v>181</v>
      </c>
      <c r="E11" s="17" t="s">
        <v>23</v>
      </c>
      <c r="F11" s="153">
        <v>20.11</v>
      </c>
      <c r="G11" s="153">
        <f>H11</f>
        <v>11.14</v>
      </c>
      <c r="H11" s="152">
        <f>'F4'!K21</f>
        <v>11.14</v>
      </c>
      <c r="I11" s="154">
        <v>14.08</v>
      </c>
      <c r="J11" s="152">
        <f>'F4'!K37</f>
        <v>11.14</v>
      </c>
      <c r="K11" s="154">
        <v>11.16</v>
      </c>
      <c r="L11" s="152">
        <f>'F4'!K53</f>
        <v>11.14</v>
      </c>
      <c r="M11" s="112"/>
    </row>
    <row r="12" spans="2:13" ht="15" x14ac:dyDescent="0.2">
      <c r="B12" s="2">
        <f t="shared" si="0"/>
        <v>3</v>
      </c>
      <c r="C12" s="3" t="s">
        <v>205</v>
      </c>
      <c r="D12" s="2" t="s">
        <v>181</v>
      </c>
      <c r="E12" s="16" t="s">
        <v>29</v>
      </c>
      <c r="F12" s="152">
        <f>'F5'!D21</f>
        <v>11.1</v>
      </c>
      <c r="G12" s="152">
        <f>'F5'!E21</f>
        <v>15.59</v>
      </c>
      <c r="H12" s="152">
        <f>'F5'!F21</f>
        <v>15.59</v>
      </c>
      <c r="I12" s="152">
        <f>'F5'!G21</f>
        <v>8.69</v>
      </c>
      <c r="J12" s="152">
        <f>'F5'!H21</f>
        <v>14.48</v>
      </c>
      <c r="K12" s="152">
        <f>'F5'!I21</f>
        <v>6.28</v>
      </c>
      <c r="L12" s="152">
        <f>'F5'!J21</f>
        <v>13.37</v>
      </c>
      <c r="M12" s="112"/>
    </row>
    <row r="13" spans="2:13" ht="15" x14ac:dyDescent="0.2">
      <c r="B13" s="2">
        <f t="shared" si="0"/>
        <v>4</v>
      </c>
      <c r="C13" s="18" t="s">
        <v>37</v>
      </c>
      <c r="D13" s="2" t="s">
        <v>181</v>
      </c>
      <c r="E13" s="16" t="s">
        <v>30</v>
      </c>
      <c r="F13" s="152">
        <f>'F6'!D19</f>
        <v>2.12</v>
      </c>
      <c r="G13" s="152">
        <f ca="1">'F6'!E19</f>
        <v>2.8</v>
      </c>
      <c r="H13" s="152">
        <f ca="1">'F6'!F19</f>
        <v>2.8</v>
      </c>
      <c r="I13" s="152">
        <f>'F6'!G19</f>
        <v>2.15</v>
      </c>
      <c r="J13" s="152">
        <f ca="1">'F6'!H19</f>
        <v>2.93</v>
      </c>
      <c r="K13" s="152">
        <f>'F6'!I19</f>
        <v>2.13</v>
      </c>
      <c r="L13" s="152">
        <f ca="1">'F6'!J19</f>
        <v>2.97</v>
      </c>
      <c r="M13" s="112"/>
    </row>
    <row r="14" spans="2:13" ht="15" x14ac:dyDescent="0.2">
      <c r="B14" s="2">
        <f t="shared" si="0"/>
        <v>5</v>
      </c>
      <c r="C14" s="3" t="s">
        <v>206</v>
      </c>
      <c r="D14" s="2" t="s">
        <v>181</v>
      </c>
      <c r="E14" s="16" t="s">
        <v>31</v>
      </c>
      <c r="F14" s="152">
        <f>'F7'!D21</f>
        <v>23.83</v>
      </c>
      <c r="G14" s="152">
        <f>'F7'!E21</f>
        <v>43.03</v>
      </c>
      <c r="H14" s="152">
        <f>'F7'!F21</f>
        <v>43.03</v>
      </c>
      <c r="I14" s="152">
        <f>'F7'!G21</f>
        <v>32.119999999999997</v>
      </c>
      <c r="J14" s="152">
        <f>'F7'!H21</f>
        <v>43.03</v>
      </c>
      <c r="K14" s="152">
        <f>'F7'!I21</f>
        <v>32.119999999999997</v>
      </c>
      <c r="L14" s="152">
        <f>'F7'!J21</f>
        <v>43.03</v>
      </c>
      <c r="M14" s="112"/>
    </row>
    <row r="15" spans="2:13" ht="15" x14ac:dyDescent="0.2">
      <c r="B15" s="2">
        <f t="shared" si="0"/>
        <v>6</v>
      </c>
      <c r="C15" s="3" t="s">
        <v>38</v>
      </c>
      <c r="D15" s="2" t="s">
        <v>181</v>
      </c>
      <c r="E15" s="16" t="s">
        <v>32</v>
      </c>
      <c r="F15" s="152">
        <f>'F8'!D29</f>
        <v>0.28999999999999998</v>
      </c>
      <c r="G15" s="152">
        <f>'F8'!E29</f>
        <v>0.31</v>
      </c>
      <c r="H15" s="152">
        <f>G15</f>
        <v>0.31</v>
      </c>
      <c r="I15" s="152">
        <f>'F8'!G29</f>
        <v>0.3</v>
      </c>
      <c r="J15" s="152">
        <f>'F8'!H29</f>
        <v>1.32</v>
      </c>
      <c r="K15" s="152">
        <f>'F8'!I29</f>
        <v>0.31</v>
      </c>
      <c r="L15" s="152">
        <f>'F8'!J29</f>
        <v>1.38</v>
      </c>
      <c r="M15" s="112"/>
    </row>
    <row r="16" spans="2:13" ht="15" x14ac:dyDescent="0.2">
      <c r="B16" s="14">
        <f t="shared" si="0"/>
        <v>7</v>
      </c>
      <c r="C16" s="19" t="s">
        <v>207</v>
      </c>
      <c r="D16" s="14" t="s">
        <v>181</v>
      </c>
      <c r="E16" s="16"/>
      <c r="F16" s="152">
        <f>SUM(F10:F14)-F15</f>
        <v>90.41</v>
      </c>
      <c r="G16" s="152">
        <f ca="1">SUM(G10:G14)-G15</f>
        <v>125.86</v>
      </c>
      <c r="H16" s="152">
        <f t="shared" ref="H16:J16" ca="1" si="1">SUM(H10:H14)-H15</f>
        <v>125.86</v>
      </c>
      <c r="I16" s="152">
        <f t="shared" si="1"/>
        <v>92.2</v>
      </c>
      <c r="J16" s="152">
        <f t="shared" ca="1" si="1"/>
        <v>133.12</v>
      </c>
      <c r="K16" s="152">
        <f>SUM(K10:K14)-K15</f>
        <v>88.86</v>
      </c>
      <c r="L16" s="152">
        <f t="shared" ref="L16" ca="1" si="2">SUM(L10:L14)-L15</f>
        <v>134.76</v>
      </c>
      <c r="M16" s="112"/>
    </row>
    <row r="17" spans="2:13" ht="15" x14ac:dyDescent="0.2">
      <c r="B17" s="14" t="s">
        <v>59</v>
      </c>
      <c r="C17" s="14" t="s">
        <v>208</v>
      </c>
      <c r="D17" s="16"/>
      <c r="E17" s="16"/>
      <c r="F17" s="113"/>
      <c r="G17" s="113"/>
      <c r="H17" s="113"/>
      <c r="I17" s="113"/>
      <c r="J17" s="113"/>
      <c r="K17" s="113"/>
      <c r="L17" s="113"/>
      <c r="M17" s="3"/>
    </row>
    <row r="18" spans="2:13" ht="15" x14ac:dyDescent="0.2">
      <c r="B18" s="2">
        <v>1</v>
      </c>
      <c r="C18" s="16" t="s">
        <v>209</v>
      </c>
      <c r="D18" s="2" t="s">
        <v>180</v>
      </c>
      <c r="E18" s="16" t="s">
        <v>145</v>
      </c>
      <c r="F18" s="155"/>
      <c r="G18" s="155"/>
      <c r="H18" s="155"/>
      <c r="I18" s="155"/>
      <c r="J18" s="155"/>
      <c r="K18" s="155"/>
      <c r="L18" s="155"/>
      <c r="M18" s="3"/>
    </row>
    <row r="19" spans="2:13" ht="15" x14ac:dyDescent="0.2">
      <c r="B19" s="2">
        <f>B18+1</f>
        <v>2</v>
      </c>
      <c r="C19" s="16" t="s">
        <v>210</v>
      </c>
      <c r="D19" s="2" t="s">
        <v>42</v>
      </c>
      <c r="E19" s="16" t="s">
        <v>34</v>
      </c>
      <c r="F19" s="152"/>
      <c r="G19" s="152"/>
      <c r="H19" s="152"/>
      <c r="I19" s="152"/>
      <c r="J19" s="152"/>
      <c r="K19" s="152"/>
      <c r="L19" s="152"/>
      <c r="M19" s="3"/>
    </row>
    <row r="20" spans="2:13" ht="15" x14ac:dyDescent="0.2">
      <c r="B20" s="2">
        <f>B19+1</f>
        <v>3</v>
      </c>
      <c r="C20" s="16" t="s">
        <v>208</v>
      </c>
      <c r="D20" s="2" t="s">
        <v>181</v>
      </c>
      <c r="E20" s="16"/>
      <c r="F20" s="152"/>
      <c r="G20" s="152"/>
      <c r="H20" s="152"/>
      <c r="I20" s="152"/>
      <c r="J20" s="152"/>
      <c r="K20" s="152"/>
      <c r="L20" s="152"/>
      <c r="M20" s="3"/>
    </row>
    <row r="21" spans="2:13" ht="15" x14ac:dyDescent="0.2">
      <c r="B21" s="14" t="s">
        <v>60</v>
      </c>
      <c r="C21" s="14" t="s">
        <v>298</v>
      </c>
      <c r="D21" s="2" t="s">
        <v>181</v>
      </c>
      <c r="E21" s="3"/>
      <c r="F21" s="156">
        <f>F16+F20</f>
        <v>90.41</v>
      </c>
      <c r="G21" s="152">
        <f t="shared" ref="G21:L21" ca="1" si="3">G16+G20</f>
        <v>125.86</v>
      </c>
      <c r="H21" s="152">
        <f t="shared" ca="1" si="3"/>
        <v>125.86</v>
      </c>
      <c r="I21" s="152">
        <f t="shared" si="3"/>
        <v>92.2</v>
      </c>
      <c r="J21" s="152">
        <f t="shared" ca="1" si="3"/>
        <v>133.12</v>
      </c>
      <c r="K21" s="152">
        <f t="shared" si="3"/>
        <v>88.86</v>
      </c>
      <c r="L21" s="152">
        <f t="shared" ca="1" si="3"/>
        <v>134.76</v>
      </c>
      <c r="M21" s="3"/>
    </row>
    <row r="22" spans="2:13" x14ac:dyDescent="0.2">
      <c r="F22" s="124"/>
    </row>
  </sheetData>
  <mergeCells count="11">
    <mergeCell ref="B2:M2"/>
    <mergeCell ref="B3:M3"/>
    <mergeCell ref="B4:M4"/>
    <mergeCell ref="D6:D8"/>
    <mergeCell ref="B6:B8"/>
    <mergeCell ref="C6:C8"/>
    <mergeCell ref="E6:E8"/>
    <mergeCell ref="M6:M8"/>
    <mergeCell ref="F6:H6"/>
    <mergeCell ref="I6:J6"/>
    <mergeCell ref="K6:L6"/>
  </mergeCells>
  <pageMargins left="0.23" right="0.23" top="0.92" bottom="1" header="0.5" footer="0.5"/>
  <pageSetup paperSize="9" scale="8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6"/>
  <sheetViews>
    <sheetView showGridLines="0" view="pageBreakPreview" zoomScale="95" zoomScaleNormal="95" zoomScaleSheetLayoutView="95" workbookViewId="0">
      <selection activeCell="K14" sqref="K14"/>
    </sheetView>
  </sheetViews>
  <sheetFormatPr defaultColWidth="9.28515625" defaultRowHeight="14.25" x14ac:dyDescent="0.2"/>
  <cols>
    <col min="1" max="1" width="3.28515625" style="5" customWidth="1"/>
    <col min="2" max="2" width="5.7109375" style="5" customWidth="1"/>
    <col min="3" max="3" width="20.7109375" style="5" customWidth="1"/>
    <col min="4" max="4" width="11.85546875" style="5" customWidth="1"/>
    <col min="5" max="5" width="11.5703125" style="5" customWidth="1"/>
    <col min="6" max="6" width="11.7109375" style="5" customWidth="1"/>
    <col min="7" max="7" width="10.7109375" style="5" customWidth="1"/>
    <col min="8" max="8" width="9.5703125" style="5" customWidth="1"/>
    <col min="9" max="10" width="10.28515625" style="5" customWidth="1"/>
    <col min="11" max="11" width="10" style="5" customWidth="1"/>
    <col min="12" max="16384" width="9.28515625" style="5"/>
  </cols>
  <sheetData>
    <row r="1" spans="2:11" ht="15" x14ac:dyDescent="0.2">
      <c r="C1" s="36"/>
      <c r="D1" s="36"/>
      <c r="E1" s="36"/>
      <c r="F1" s="36"/>
      <c r="G1" s="36"/>
      <c r="I1" s="33"/>
      <c r="J1" s="33"/>
      <c r="K1" s="36"/>
    </row>
    <row r="2" spans="2:11" ht="15" x14ac:dyDescent="0.2">
      <c r="B2" s="217" t="s">
        <v>305</v>
      </c>
      <c r="C2" s="217"/>
      <c r="D2" s="217"/>
      <c r="E2" s="217"/>
      <c r="F2" s="217"/>
      <c r="G2" s="217"/>
      <c r="H2" s="217"/>
      <c r="I2" s="217"/>
      <c r="J2" s="217"/>
      <c r="K2" s="217"/>
    </row>
    <row r="3" spans="2:11" ht="15" x14ac:dyDescent="0.2">
      <c r="B3" s="35"/>
      <c r="C3" s="35"/>
      <c r="D3" s="35"/>
      <c r="E3" s="35"/>
      <c r="F3" s="35" t="str">
        <f>'F1'!$B$3</f>
        <v>Priyadarshini Jurala HES</v>
      </c>
      <c r="G3" s="35"/>
      <c r="H3" s="35"/>
      <c r="I3" s="35"/>
      <c r="J3" s="35"/>
      <c r="K3" s="35"/>
    </row>
    <row r="4" spans="2:11" ht="15" x14ac:dyDescent="0.2">
      <c r="B4" s="217" t="s">
        <v>285</v>
      </c>
      <c r="C4" s="217"/>
      <c r="D4" s="217"/>
      <c r="E4" s="217"/>
      <c r="F4" s="217"/>
      <c r="G4" s="217"/>
      <c r="H4" s="217"/>
      <c r="I4" s="217"/>
      <c r="J4" s="217"/>
      <c r="K4" s="217"/>
    </row>
    <row r="5" spans="2:11" ht="15" x14ac:dyDescent="0.2"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2:11" ht="15" x14ac:dyDescent="0.2">
      <c r="B6" s="231" t="s">
        <v>56</v>
      </c>
      <c r="C6" s="231"/>
      <c r="D6" s="231"/>
      <c r="E6" s="231"/>
      <c r="F6" s="231"/>
      <c r="G6" s="231"/>
      <c r="H6" s="231"/>
      <c r="I6" s="231"/>
      <c r="J6" s="231"/>
      <c r="K6" s="231"/>
    </row>
    <row r="7" spans="2:11" ht="15" x14ac:dyDescent="0.2">
      <c r="K7" s="26" t="s">
        <v>4</v>
      </c>
    </row>
    <row r="8" spans="2:11" ht="15" customHeight="1" x14ac:dyDescent="0.2">
      <c r="B8" s="232" t="s">
        <v>169</v>
      </c>
      <c r="C8" s="232" t="s">
        <v>18</v>
      </c>
      <c r="D8" s="233" t="s">
        <v>1</v>
      </c>
      <c r="E8" s="228" t="s">
        <v>306</v>
      </c>
      <c r="F8" s="229"/>
      <c r="G8" s="230"/>
      <c r="H8" s="228" t="s">
        <v>307</v>
      </c>
      <c r="I8" s="230"/>
      <c r="J8" s="228" t="s">
        <v>332</v>
      </c>
      <c r="K8" s="230"/>
    </row>
    <row r="9" spans="2:11" ht="75" x14ac:dyDescent="0.2">
      <c r="B9" s="232"/>
      <c r="C9" s="232"/>
      <c r="D9" s="234"/>
      <c r="E9" s="15" t="s">
        <v>278</v>
      </c>
      <c r="F9" s="15" t="s">
        <v>212</v>
      </c>
      <c r="G9" s="15" t="s">
        <v>330</v>
      </c>
      <c r="H9" s="15" t="s">
        <v>278</v>
      </c>
      <c r="I9" s="15" t="s">
        <v>211</v>
      </c>
      <c r="J9" s="15" t="s">
        <v>278</v>
      </c>
      <c r="K9" s="15" t="s">
        <v>211</v>
      </c>
    </row>
    <row r="10" spans="2:11" ht="30" x14ac:dyDescent="0.2">
      <c r="B10" s="232"/>
      <c r="C10" s="232"/>
      <c r="D10" s="235"/>
      <c r="E10" s="15" t="s">
        <v>10</v>
      </c>
      <c r="F10" s="15" t="s">
        <v>12</v>
      </c>
      <c r="G10" s="15" t="s">
        <v>203</v>
      </c>
      <c r="H10" s="15" t="s">
        <v>10</v>
      </c>
      <c r="I10" s="15" t="s">
        <v>328</v>
      </c>
      <c r="J10" s="15" t="s">
        <v>10</v>
      </c>
      <c r="K10" s="15" t="s">
        <v>328</v>
      </c>
    </row>
    <row r="11" spans="2:11" x14ac:dyDescent="0.2">
      <c r="B11" s="20">
        <v>1</v>
      </c>
      <c r="C11" s="29" t="s">
        <v>57</v>
      </c>
      <c r="D11" s="29" t="s">
        <v>24</v>
      </c>
      <c r="E11" s="111"/>
      <c r="F11" s="126">
        <f>F2.1!D35</f>
        <v>47.36</v>
      </c>
      <c r="G11" s="126">
        <f>F11</f>
        <v>47.36</v>
      </c>
      <c r="H11" s="111"/>
      <c r="I11" s="126">
        <f>F2.1!E35</f>
        <v>50.12</v>
      </c>
      <c r="J11" s="111"/>
      <c r="K11" s="126">
        <f>F2.1!F35</f>
        <v>52.12</v>
      </c>
    </row>
    <row r="12" spans="2:11" x14ac:dyDescent="0.2">
      <c r="B12" s="20">
        <f>B11+1</f>
        <v>2</v>
      </c>
      <c r="C12" s="37" t="s">
        <v>213</v>
      </c>
      <c r="D12" s="37" t="s">
        <v>25</v>
      </c>
      <c r="E12" s="116"/>
      <c r="F12" s="127">
        <f>F2.2!D38</f>
        <v>1.97</v>
      </c>
      <c r="G12" s="126">
        <f t="shared" ref="G12:G13" si="0">F12</f>
        <v>1.97</v>
      </c>
      <c r="H12" s="111"/>
      <c r="I12" s="126">
        <f>F2.2!E38</f>
        <v>2.15</v>
      </c>
      <c r="J12" s="111"/>
      <c r="K12" s="126">
        <f>F2.2!F38</f>
        <v>2.2799999999999998</v>
      </c>
    </row>
    <row r="13" spans="2:11" x14ac:dyDescent="0.2">
      <c r="B13" s="20">
        <f>B12+1</f>
        <v>3</v>
      </c>
      <c r="C13" s="29" t="s">
        <v>185</v>
      </c>
      <c r="D13" s="29" t="s">
        <v>239</v>
      </c>
      <c r="E13" s="111"/>
      <c r="F13" s="126">
        <f>F2.3!D18</f>
        <v>4.28</v>
      </c>
      <c r="G13" s="126">
        <f t="shared" si="0"/>
        <v>4.28</v>
      </c>
      <c r="H13" s="111"/>
      <c r="I13" s="126">
        <f>F2.3!E18</f>
        <v>10.59</v>
      </c>
      <c r="J13" s="111"/>
      <c r="K13" s="126">
        <f>F2.3!F18</f>
        <v>11.23</v>
      </c>
    </row>
    <row r="14" spans="2:11" ht="15" x14ac:dyDescent="0.2">
      <c r="B14" s="20">
        <f>B13+1</f>
        <v>4</v>
      </c>
      <c r="C14" s="29" t="s">
        <v>58</v>
      </c>
      <c r="D14" s="29"/>
      <c r="E14" s="128">
        <v>33.54</v>
      </c>
      <c r="F14" s="128">
        <f t="shared" ref="F14:K14" si="1">ROUND(SUM(F11:F13),2)</f>
        <v>53.61</v>
      </c>
      <c r="G14" s="128">
        <f t="shared" si="1"/>
        <v>53.61</v>
      </c>
      <c r="H14" s="128">
        <v>35.46</v>
      </c>
      <c r="I14" s="128">
        <f t="shared" si="1"/>
        <v>62.86</v>
      </c>
      <c r="J14" s="128">
        <v>37.479999999999997</v>
      </c>
      <c r="K14" s="128">
        <f t="shared" si="1"/>
        <v>65.63</v>
      </c>
    </row>
    <row r="15" spans="2:11" x14ac:dyDescent="0.2">
      <c r="B15" s="49" t="s">
        <v>214</v>
      </c>
      <c r="C15" s="50"/>
      <c r="D15" s="47"/>
      <c r="E15" s="143"/>
      <c r="F15" s="47"/>
      <c r="G15" s="48"/>
      <c r="H15" s="48"/>
      <c r="I15" s="48"/>
      <c r="J15" s="48"/>
      <c r="K15" s="48"/>
    </row>
    <row r="16" spans="2:11" x14ac:dyDescent="0.2">
      <c r="B16" s="51">
        <v>1</v>
      </c>
      <c r="C16" s="50" t="s">
        <v>215</v>
      </c>
    </row>
  </sheetData>
  <mergeCells count="9">
    <mergeCell ref="B4:K4"/>
    <mergeCell ref="B2:K2"/>
    <mergeCell ref="B6:K6"/>
    <mergeCell ref="B8:B10"/>
    <mergeCell ref="C8:C10"/>
    <mergeCell ref="H8:I8"/>
    <mergeCell ref="E8:G8"/>
    <mergeCell ref="D8:D10"/>
    <mergeCell ref="J8:K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view="pageBreakPreview" topLeftCell="A22" zoomScale="98" zoomScaleNormal="95" zoomScaleSheetLayoutView="98" workbookViewId="0">
      <selection activeCell="D35" sqref="D35:F35"/>
    </sheetView>
  </sheetViews>
  <sheetFormatPr defaultColWidth="9.28515625" defaultRowHeight="14.25" x14ac:dyDescent="0.2"/>
  <cols>
    <col min="1" max="1" width="4.140625" style="13" customWidth="1"/>
    <col min="2" max="2" width="7" style="13" customWidth="1"/>
    <col min="3" max="3" width="40.7109375" style="13" customWidth="1"/>
    <col min="4" max="4" width="12.7109375" style="13" customWidth="1"/>
    <col min="5" max="5" width="13.28515625" style="13" customWidth="1"/>
    <col min="6" max="6" width="11.85546875" style="13" customWidth="1"/>
    <col min="7" max="7" width="9.28515625" style="13"/>
    <col min="8" max="8" width="16.28515625" style="13" bestFit="1" customWidth="1"/>
    <col min="9" max="16384" width="9.28515625" style="13"/>
  </cols>
  <sheetData>
    <row r="1" spans="1:8" ht="14.25" customHeight="1" x14ac:dyDescent="0.2">
      <c r="B1" s="217" t="s">
        <v>305</v>
      </c>
      <c r="C1" s="217"/>
      <c r="D1" s="217"/>
      <c r="E1" s="217"/>
      <c r="F1" s="217"/>
    </row>
    <row r="2" spans="1:8" ht="14.25" customHeight="1" x14ac:dyDescent="0.2">
      <c r="A2" s="217" t="str">
        <f>'F1'!$B$3</f>
        <v>Priyadarshini Jurala HES</v>
      </c>
      <c r="B2" s="217"/>
      <c r="C2" s="217"/>
      <c r="D2" s="217"/>
      <c r="E2" s="217"/>
      <c r="F2" s="217"/>
    </row>
    <row r="3" spans="1:8" s="4" customFormat="1" ht="14.25" customHeight="1" x14ac:dyDescent="0.2">
      <c r="B3" s="217" t="s">
        <v>240</v>
      </c>
      <c r="C3" s="217"/>
      <c r="D3" s="217"/>
      <c r="E3" s="217"/>
      <c r="F3" s="217"/>
    </row>
    <row r="4" spans="1:8" s="4" customFormat="1" ht="3" customHeight="1" x14ac:dyDescent="0.25">
      <c r="C4" s="40"/>
      <c r="D4" s="41"/>
      <c r="E4" s="41"/>
    </row>
    <row r="5" spans="1:8" ht="15" x14ac:dyDescent="0.2">
      <c r="F5" s="26" t="s">
        <v>4</v>
      </c>
    </row>
    <row r="6" spans="1:8" ht="12.75" customHeight="1" x14ac:dyDescent="0.2">
      <c r="B6" s="224" t="s">
        <v>2</v>
      </c>
      <c r="C6" s="224" t="s">
        <v>18</v>
      </c>
      <c r="D6" s="15" t="s">
        <v>306</v>
      </c>
      <c r="E6" s="15" t="s">
        <v>307</v>
      </c>
      <c r="F6" s="23" t="s">
        <v>332</v>
      </c>
    </row>
    <row r="7" spans="1:8" ht="15" x14ac:dyDescent="0.2">
      <c r="B7" s="224"/>
      <c r="C7" s="224"/>
      <c r="D7" s="15" t="s">
        <v>212</v>
      </c>
      <c r="E7" s="15" t="s">
        <v>211</v>
      </c>
      <c r="F7" s="15" t="s">
        <v>211</v>
      </c>
    </row>
    <row r="8" spans="1:8" ht="15" x14ac:dyDescent="0.2">
      <c r="B8" s="236"/>
      <c r="C8" s="224"/>
      <c r="D8" s="15" t="s">
        <v>12</v>
      </c>
      <c r="E8" s="15" t="s">
        <v>5</v>
      </c>
      <c r="F8" s="15" t="s">
        <v>8</v>
      </c>
    </row>
    <row r="9" spans="1:8" ht="18" customHeight="1" x14ac:dyDescent="0.2">
      <c r="B9" s="2">
        <v>1</v>
      </c>
      <c r="C9" s="42" t="s">
        <v>61</v>
      </c>
      <c r="D9" s="180">
        <v>23.334862413745878</v>
      </c>
      <c r="E9" s="180">
        <v>24.589262936914611</v>
      </c>
      <c r="F9" s="180">
        <v>25.572833454391198</v>
      </c>
      <c r="H9" s="129"/>
    </row>
    <row r="10" spans="1:8" ht="18" customHeight="1" x14ac:dyDescent="0.2">
      <c r="B10" s="2">
        <v>2</v>
      </c>
      <c r="C10" s="42" t="s">
        <v>62</v>
      </c>
      <c r="D10" s="180">
        <v>2.9752386630927319</v>
      </c>
      <c r="E10" s="180">
        <v>3.1298078732730912</v>
      </c>
      <c r="F10" s="180">
        <v>3.2550001882040149</v>
      </c>
      <c r="H10" s="129"/>
    </row>
    <row r="11" spans="1:8" ht="18" customHeight="1" x14ac:dyDescent="0.2">
      <c r="B11" s="2">
        <v>3</v>
      </c>
      <c r="C11" s="3" t="s">
        <v>63</v>
      </c>
      <c r="D11" s="180">
        <v>1.1444702430294009</v>
      </c>
      <c r="E11" s="180">
        <v>1.2606908448220977</v>
      </c>
      <c r="F11" s="180">
        <v>1.3111184786149817</v>
      </c>
      <c r="H11" s="129"/>
    </row>
    <row r="12" spans="1:8" ht="18" customHeight="1" x14ac:dyDescent="0.2">
      <c r="B12" s="2">
        <v>4</v>
      </c>
      <c r="C12" s="42" t="s">
        <v>64</v>
      </c>
      <c r="D12" s="180">
        <v>0.14693342888999722</v>
      </c>
      <c r="E12" s="180">
        <v>0.15306907791775173</v>
      </c>
      <c r="F12" s="180">
        <v>0.1591918410344618</v>
      </c>
      <c r="H12" s="129"/>
    </row>
    <row r="13" spans="1:8" ht="18" customHeight="1" x14ac:dyDescent="0.2">
      <c r="B13" s="2">
        <v>5</v>
      </c>
      <c r="C13" s="42" t="s">
        <v>65</v>
      </c>
      <c r="D13" s="180">
        <v>0</v>
      </c>
      <c r="E13" s="180">
        <v>0</v>
      </c>
      <c r="F13" s="180">
        <v>0</v>
      </c>
      <c r="H13" s="129"/>
    </row>
    <row r="14" spans="1:8" ht="18" customHeight="1" x14ac:dyDescent="0.2">
      <c r="B14" s="2">
        <v>6</v>
      </c>
      <c r="C14" s="3" t="s">
        <v>66</v>
      </c>
      <c r="D14" s="180">
        <v>0.62380627387350951</v>
      </c>
      <c r="E14" s="180">
        <v>0.42746031305350485</v>
      </c>
      <c r="F14" s="180">
        <v>0.44455872557564508</v>
      </c>
      <c r="H14" s="129"/>
    </row>
    <row r="15" spans="1:8" ht="18" customHeight="1" x14ac:dyDescent="0.2">
      <c r="B15" s="2">
        <v>7</v>
      </c>
      <c r="C15" s="42" t="s">
        <v>67</v>
      </c>
      <c r="D15" s="180">
        <v>3.618218336561994</v>
      </c>
      <c r="E15" s="180">
        <v>3.786955912364109</v>
      </c>
      <c r="F15" s="180">
        <v>3.9384341488586734</v>
      </c>
      <c r="H15" s="129"/>
    </row>
    <row r="16" spans="1:8" ht="18" customHeight="1" x14ac:dyDescent="0.2">
      <c r="B16" s="2">
        <v>8</v>
      </c>
      <c r="C16" s="42" t="s">
        <v>68</v>
      </c>
      <c r="D16" s="180">
        <v>0.77201790568372308</v>
      </c>
      <c r="E16" s="180">
        <v>0.81821040402682854</v>
      </c>
      <c r="F16" s="180">
        <v>0.85093882018790168</v>
      </c>
      <c r="H16" s="129"/>
    </row>
    <row r="17" spans="2:8" ht="18" customHeight="1" x14ac:dyDescent="0.2">
      <c r="B17" s="2">
        <v>9</v>
      </c>
      <c r="C17" s="42" t="s">
        <v>69</v>
      </c>
      <c r="D17" s="180">
        <v>0</v>
      </c>
      <c r="E17" s="180">
        <v>0</v>
      </c>
      <c r="F17" s="180">
        <v>0</v>
      </c>
      <c r="H17" s="129"/>
    </row>
    <row r="18" spans="2:8" ht="18" customHeight="1" x14ac:dyDescent="0.2">
      <c r="B18" s="2">
        <v>10</v>
      </c>
      <c r="C18" s="42" t="s">
        <v>70</v>
      </c>
      <c r="D18" s="180">
        <v>0</v>
      </c>
      <c r="E18" s="180">
        <v>0</v>
      </c>
      <c r="F18" s="180">
        <v>0</v>
      </c>
      <c r="H18" s="129"/>
    </row>
    <row r="19" spans="2:8" ht="18" customHeight="1" x14ac:dyDescent="0.2">
      <c r="B19" s="2">
        <v>11</v>
      </c>
      <c r="C19" s="42" t="s">
        <v>71</v>
      </c>
      <c r="D19" s="180">
        <v>8.5401689358893644E-4</v>
      </c>
      <c r="E19" s="180">
        <v>9.4690411755562489E-4</v>
      </c>
      <c r="F19" s="180">
        <v>9.8478028225784989E-4</v>
      </c>
      <c r="H19" s="129"/>
    </row>
    <row r="20" spans="2:8" ht="18" customHeight="1" x14ac:dyDescent="0.2">
      <c r="B20" s="2">
        <v>12</v>
      </c>
      <c r="C20" s="42" t="s">
        <v>72</v>
      </c>
      <c r="D20" s="180">
        <v>0.40053222349684858</v>
      </c>
      <c r="E20" s="180">
        <v>0.42343193144880992</v>
      </c>
      <c r="F20" s="180">
        <v>0.44036920870676233</v>
      </c>
      <c r="H20" s="129"/>
    </row>
    <row r="21" spans="2:8" ht="18" customHeight="1" x14ac:dyDescent="0.2">
      <c r="B21" s="2">
        <v>13</v>
      </c>
      <c r="C21" s="42" t="s">
        <v>73</v>
      </c>
      <c r="D21" s="180">
        <v>0</v>
      </c>
      <c r="E21" s="180">
        <v>0</v>
      </c>
      <c r="F21" s="180">
        <v>0</v>
      </c>
      <c r="H21" s="129"/>
    </row>
    <row r="22" spans="2:8" ht="18" customHeight="1" x14ac:dyDescent="0.2">
      <c r="B22" s="2">
        <v>14</v>
      </c>
      <c r="C22" s="42" t="s">
        <v>74</v>
      </c>
      <c r="D22" s="180">
        <v>0</v>
      </c>
      <c r="E22" s="180">
        <v>0</v>
      </c>
      <c r="F22" s="180">
        <v>0</v>
      </c>
      <c r="H22" s="129"/>
    </row>
    <row r="23" spans="2:8" ht="18" customHeight="1" x14ac:dyDescent="0.2">
      <c r="B23" s="2">
        <v>15</v>
      </c>
      <c r="C23" s="42" t="s">
        <v>75</v>
      </c>
      <c r="D23" s="180">
        <v>0</v>
      </c>
      <c r="E23" s="180">
        <v>0</v>
      </c>
      <c r="F23" s="180">
        <v>0</v>
      </c>
      <c r="H23" s="129"/>
    </row>
    <row r="24" spans="2:8" ht="18" customHeight="1" x14ac:dyDescent="0.2">
      <c r="B24" s="2">
        <v>16</v>
      </c>
      <c r="C24" s="42" t="s">
        <v>76</v>
      </c>
      <c r="D24" s="180">
        <v>0</v>
      </c>
      <c r="E24" s="180">
        <v>0</v>
      </c>
      <c r="F24" s="180">
        <v>0</v>
      </c>
      <c r="H24" s="129"/>
    </row>
    <row r="25" spans="2:8" ht="18" customHeight="1" x14ac:dyDescent="0.2">
      <c r="B25" s="2">
        <v>17</v>
      </c>
      <c r="C25" s="42" t="s">
        <v>77</v>
      </c>
      <c r="D25" s="122">
        <f>SUM(D9:D24)</f>
        <v>33.016933505267673</v>
      </c>
      <c r="E25" s="123">
        <f>SUM(E9:E24)</f>
        <v>34.589836197938361</v>
      </c>
      <c r="F25" s="123">
        <f>SUM(F9:F24)</f>
        <v>35.973429645855902</v>
      </c>
      <c r="H25" s="130"/>
    </row>
    <row r="26" spans="2:8" ht="18" customHeight="1" x14ac:dyDescent="0.2">
      <c r="B26" s="2">
        <v>18</v>
      </c>
      <c r="C26" s="42" t="s">
        <v>78</v>
      </c>
      <c r="D26" s="180">
        <v>0</v>
      </c>
      <c r="E26" s="180">
        <v>0</v>
      </c>
      <c r="F26" s="180">
        <v>0</v>
      </c>
    </row>
    <row r="27" spans="2:8" ht="18" customHeight="1" x14ac:dyDescent="0.2">
      <c r="B27" s="2">
        <f>+B26+0.1</f>
        <v>18.100000000000001</v>
      </c>
      <c r="C27" s="42" t="s">
        <v>79</v>
      </c>
      <c r="D27" s="180">
        <v>0</v>
      </c>
      <c r="E27" s="180">
        <v>0</v>
      </c>
      <c r="F27" s="180">
        <v>0</v>
      </c>
    </row>
    <row r="28" spans="2:8" ht="18" customHeight="1" x14ac:dyDescent="0.2">
      <c r="B28" s="2">
        <f>+B27+0.1</f>
        <v>18.200000000000003</v>
      </c>
      <c r="C28" s="42" t="s">
        <v>80</v>
      </c>
      <c r="D28" s="180">
        <v>2.314800559059873</v>
      </c>
      <c r="E28" s="180">
        <v>2.4648305270070452</v>
      </c>
      <c r="F28" s="180">
        <v>2.563423748087327</v>
      </c>
    </row>
    <row r="29" spans="2:8" ht="18" customHeight="1" x14ac:dyDescent="0.2">
      <c r="B29" s="2">
        <f>+B28+0.1</f>
        <v>18.300000000000004</v>
      </c>
      <c r="C29" s="42" t="s">
        <v>81</v>
      </c>
      <c r="D29" s="180">
        <v>0</v>
      </c>
      <c r="E29" s="180">
        <v>0</v>
      </c>
      <c r="F29" s="180">
        <v>0</v>
      </c>
    </row>
    <row r="30" spans="2:8" ht="18" customHeight="1" x14ac:dyDescent="0.2">
      <c r="B30" s="2">
        <f>+B29+0.1</f>
        <v>18.400000000000006</v>
      </c>
      <c r="C30" s="42" t="s">
        <v>82</v>
      </c>
      <c r="D30" s="180">
        <v>12.026065852778061</v>
      </c>
      <c r="E30" s="180">
        <v>13.0621499686098</v>
      </c>
      <c r="F30" s="180">
        <v>13.584635967354192</v>
      </c>
    </row>
    <row r="31" spans="2:8" ht="26.25" customHeight="1" x14ac:dyDescent="0.2">
      <c r="B31" s="2">
        <v>19</v>
      </c>
      <c r="C31" s="46" t="s">
        <v>297</v>
      </c>
      <c r="D31" s="180">
        <v>0</v>
      </c>
      <c r="E31" s="180">
        <v>0</v>
      </c>
      <c r="F31" s="180">
        <v>0</v>
      </c>
    </row>
    <row r="32" spans="2:8" ht="18" customHeight="1" x14ac:dyDescent="0.2">
      <c r="B32" s="2">
        <v>20</v>
      </c>
      <c r="C32" s="42" t="s">
        <v>83</v>
      </c>
      <c r="D32" s="180">
        <v>0</v>
      </c>
      <c r="E32" s="180">
        <v>0</v>
      </c>
      <c r="F32" s="180">
        <v>0</v>
      </c>
    </row>
    <row r="33" spans="2:6" ht="18" customHeight="1" x14ac:dyDescent="0.25">
      <c r="B33" s="14">
        <v>21</v>
      </c>
      <c r="C33" s="43" t="s">
        <v>84</v>
      </c>
      <c r="D33" s="110">
        <f>SUM(D25:D32)</f>
        <v>47.357799917105609</v>
      </c>
      <c r="E33" s="110">
        <f>SUM(E25:E32)</f>
        <v>50.116816693555208</v>
      </c>
      <c r="F33" s="110">
        <f>SUM(F25:F32)</f>
        <v>52.121489361297421</v>
      </c>
    </row>
    <row r="34" spans="2:6" ht="18" customHeight="1" x14ac:dyDescent="0.25">
      <c r="B34" s="2">
        <v>22</v>
      </c>
      <c r="C34" s="42" t="s">
        <v>17</v>
      </c>
      <c r="D34" s="175"/>
      <c r="E34" s="176"/>
      <c r="F34" s="176"/>
    </row>
    <row r="35" spans="2:6" ht="18" customHeight="1" x14ac:dyDescent="0.25">
      <c r="B35" s="14">
        <v>23</v>
      </c>
      <c r="C35" s="19" t="s">
        <v>85</v>
      </c>
      <c r="D35" s="209">
        <f>ROUND(D33-D34,2)</f>
        <v>47.36</v>
      </c>
      <c r="E35" s="209">
        <f t="shared" ref="E35:F35" si="0">ROUND(E33-E34,2)</f>
        <v>50.12</v>
      </c>
      <c r="F35" s="209">
        <f t="shared" si="0"/>
        <v>52.12</v>
      </c>
    </row>
    <row r="36" spans="2:6" ht="27.75" customHeight="1" x14ac:dyDescent="0.2">
      <c r="B36" s="44"/>
      <c r="D36" s="131"/>
    </row>
    <row r="37" spans="2:6" x14ac:dyDescent="0.2">
      <c r="B37" s="45"/>
    </row>
  </sheetData>
  <mergeCells count="5">
    <mergeCell ref="B6:B8"/>
    <mergeCell ref="C6:C8"/>
    <mergeCell ref="B1:F1"/>
    <mergeCell ref="B3:F3"/>
    <mergeCell ref="A2:F2"/>
  </mergeCells>
  <pageMargins left="1" right="0.25" top="0.25" bottom="0.25" header="0.5" footer="0.5"/>
  <pageSetup paperSize="9" scale="95" fitToHeight="0" orientation="landscape" r:id="rId1"/>
  <headerFooter alignWithMargins="0"/>
  <rowBreaks count="1" manualBreakCount="1">
    <brk id="35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8"/>
  <sheetViews>
    <sheetView showGridLines="0" view="pageBreakPreview" topLeftCell="A23" zoomScale="96" zoomScaleSheetLayoutView="96" workbookViewId="0">
      <selection activeCell="D38" sqref="D38:F38"/>
    </sheetView>
  </sheetViews>
  <sheetFormatPr defaultColWidth="9.28515625" defaultRowHeight="14.25" x14ac:dyDescent="0.2"/>
  <cols>
    <col min="1" max="1" width="2" style="13" customWidth="1"/>
    <col min="2" max="2" width="7" style="13" customWidth="1"/>
    <col min="3" max="3" width="50.28515625" style="13" customWidth="1"/>
    <col min="4" max="5" width="15.7109375" style="13" customWidth="1"/>
    <col min="6" max="6" width="16.140625" style="13" customWidth="1"/>
    <col min="7" max="16384" width="9.28515625" style="13"/>
  </cols>
  <sheetData>
    <row r="1" spans="2:6" ht="14.25" customHeight="1" x14ac:dyDescent="0.2">
      <c r="B1" s="217" t="s">
        <v>305</v>
      </c>
      <c r="C1" s="217"/>
      <c r="D1" s="217"/>
      <c r="E1" s="217"/>
      <c r="F1" s="217"/>
    </row>
    <row r="2" spans="2:6" ht="14.25" customHeight="1" x14ac:dyDescent="0.2">
      <c r="B2" s="217" t="str">
        <f>'F1'!$B$3</f>
        <v>Priyadarshini Jurala HES</v>
      </c>
      <c r="C2" s="217"/>
      <c r="D2" s="217"/>
      <c r="E2" s="217"/>
      <c r="F2" s="217"/>
    </row>
    <row r="3" spans="2:6" s="4" customFormat="1" ht="15" x14ac:dyDescent="0.2">
      <c r="B3" s="217" t="s">
        <v>308</v>
      </c>
      <c r="C3" s="217"/>
      <c r="D3" s="217"/>
      <c r="E3" s="217"/>
      <c r="F3" s="217"/>
    </row>
    <row r="4" spans="2:6" ht="15" x14ac:dyDescent="0.2">
      <c r="F4" s="26" t="s">
        <v>4</v>
      </c>
    </row>
    <row r="5" spans="2:6" ht="12.75" customHeight="1" x14ac:dyDescent="0.2">
      <c r="B5" s="226" t="s">
        <v>169</v>
      </c>
      <c r="C5" s="224" t="s">
        <v>18</v>
      </c>
      <c r="D5" s="15" t="s">
        <v>306</v>
      </c>
      <c r="E5" s="15" t="s">
        <v>307</v>
      </c>
      <c r="F5" s="23" t="s">
        <v>332</v>
      </c>
    </row>
    <row r="6" spans="2:6" ht="15" x14ac:dyDescent="0.2">
      <c r="B6" s="226"/>
      <c r="C6" s="224"/>
      <c r="D6" s="15" t="s">
        <v>212</v>
      </c>
      <c r="E6" s="15" t="s">
        <v>211</v>
      </c>
      <c r="F6" s="15" t="s">
        <v>211</v>
      </c>
    </row>
    <row r="7" spans="2:6" ht="15" x14ac:dyDescent="0.2">
      <c r="B7" s="226"/>
      <c r="C7" s="224"/>
      <c r="D7" s="15" t="s">
        <v>12</v>
      </c>
      <c r="E7" s="15" t="s">
        <v>5</v>
      </c>
      <c r="F7" s="15" t="s">
        <v>8</v>
      </c>
    </row>
    <row r="8" spans="2:6" x14ac:dyDescent="0.2">
      <c r="B8" s="3">
        <v>1</v>
      </c>
      <c r="C8" s="52" t="s">
        <v>86</v>
      </c>
      <c r="D8" s="180">
        <v>4.4352953505761815E-2</v>
      </c>
      <c r="E8" s="180">
        <v>3.6876186786425069E-2</v>
      </c>
      <c r="F8" s="180">
        <v>3.9088757993610578E-2</v>
      </c>
    </row>
    <row r="9" spans="2:6" x14ac:dyDescent="0.2">
      <c r="B9" s="3">
        <v>2</v>
      </c>
      <c r="C9" s="53" t="s">
        <v>87</v>
      </c>
      <c r="D9" s="180">
        <v>0</v>
      </c>
      <c r="E9" s="180">
        <v>0</v>
      </c>
      <c r="F9" s="180">
        <v>0</v>
      </c>
    </row>
    <row r="10" spans="2:6" x14ac:dyDescent="0.2">
      <c r="B10" s="3">
        <v>3</v>
      </c>
      <c r="C10" s="53" t="s">
        <v>88</v>
      </c>
      <c r="D10" s="180">
        <v>4.4660857292190305E-2</v>
      </c>
      <c r="E10" s="180">
        <v>5.0061029204325397E-2</v>
      </c>
      <c r="F10" s="180">
        <v>5.306469095658492E-2</v>
      </c>
    </row>
    <row r="11" spans="2:6" x14ac:dyDescent="0.2">
      <c r="B11" s="3">
        <v>4</v>
      </c>
      <c r="C11" s="53" t="s">
        <v>89</v>
      </c>
      <c r="D11" s="180">
        <v>9.3482102221815286E-2</v>
      </c>
      <c r="E11" s="180">
        <v>0.10453244601832348</v>
      </c>
      <c r="F11" s="180">
        <v>0.1108043927794229</v>
      </c>
    </row>
    <row r="12" spans="2:6" x14ac:dyDescent="0.2">
      <c r="B12" s="3">
        <v>5</v>
      </c>
      <c r="C12" s="53" t="s">
        <v>90</v>
      </c>
      <c r="D12" s="180">
        <v>7.1388690073678875E-3</v>
      </c>
      <c r="E12" s="180">
        <v>8.0305139960375645E-3</v>
      </c>
      <c r="F12" s="180">
        <v>8.5123448357998181E-3</v>
      </c>
    </row>
    <row r="13" spans="2:6" x14ac:dyDescent="0.2">
      <c r="B13" s="3">
        <v>6</v>
      </c>
      <c r="C13" s="53" t="s">
        <v>91</v>
      </c>
      <c r="D13" s="180">
        <v>2.468970023705315E-2</v>
      </c>
      <c r="E13" s="180">
        <v>2.7689403580962224E-2</v>
      </c>
      <c r="F13" s="180">
        <v>2.9350767795819958E-2</v>
      </c>
    </row>
    <row r="14" spans="2:6" x14ac:dyDescent="0.2">
      <c r="B14" s="3">
        <v>7</v>
      </c>
      <c r="C14" s="53" t="s">
        <v>92</v>
      </c>
      <c r="D14" s="180">
        <v>0.4293591512864518</v>
      </c>
      <c r="E14" s="180">
        <v>0.43151595970069589</v>
      </c>
      <c r="F14" s="180">
        <v>0.45740691728273769</v>
      </c>
    </row>
    <row r="15" spans="2:6" x14ac:dyDescent="0.2">
      <c r="B15" s="3">
        <v>8</v>
      </c>
      <c r="C15" s="53" t="s">
        <v>93</v>
      </c>
      <c r="D15" s="180">
        <v>6.7670724214265749E-3</v>
      </c>
      <c r="E15" s="180">
        <v>8.7936547580831966E-3</v>
      </c>
      <c r="F15" s="180">
        <v>9.3212740435681882E-3</v>
      </c>
    </row>
    <row r="16" spans="2:6" x14ac:dyDescent="0.2">
      <c r="B16" s="3">
        <v>9</v>
      </c>
      <c r="C16" s="53" t="s">
        <v>94</v>
      </c>
      <c r="D16" s="180">
        <v>0.50046072038519418</v>
      </c>
      <c r="E16" s="180">
        <v>0.5450357491655734</v>
      </c>
      <c r="F16" s="180">
        <v>0.5777378941155078</v>
      </c>
    </row>
    <row r="17" spans="2:6" x14ac:dyDescent="0.2">
      <c r="B17" s="3">
        <v>10</v>
      </c>
      <c r="C17" s="53" t="s">
        <v>95</v>
      </c>
      <c r="D17" s="180">
        <v>0.13312855386189185</v>
      </c>
      <c r="E17" s="180">
        <v>0.14975631489480692</v>
      </c>
      <c r="F17" s="180">
        <v>0.15874169378849534</v>
      </c>
    </row>
    <row r="18" spans="2:6" x14ac:dyDescent="0.2">
      <c r="B18" s="3">
        <v>11</v>
      </c>
      <c r="C18" s="53" t="s">
        <v>96</v>
      </c>
      <c r="D18" s="180">
        <v>1.5207840927095902E-4</v>
      </c>
      <c r="E18" s="180">
        <v>1.6347962309778182E-4</v>
      </c>
      <c r="F18" s="180">
        <v>1.7328840048364875E-4</v>
      </c>
    </row>
    <row r="19" spans="2:6" x14ac:dyDescent="0.2">
      <c r="B19" s="3">
        <v>12</v>
      </c>
      <c r="C19" s="53" t="s">
        <v>97</v>
      </c>
      <c r="D19" s="180">
        <v>0</v>
      </c>
      <c r="E19" s="180">
        <v>0</v>
      </c>
      <c r="F19" s="180">
        <v>0</v>
      </c>
    </row>
    <row r="20" spans="2:6" x14ac:dyDescent="0.2">
      <c r="B20" s="3">
        <v>13</v>
      </c>
      <c r="C20" s="53" t="s">
        <v>98</v>
      </c>
      <c r="D20" s="180">
        <v>8.6331010478214402E-3</v>
      </c>
      <c r="E20" s="180">
        <v>9.6983285589508153E-3</v>
      </c>
      <c r="F20" s="180">
        <v>1.0280228272487864E-2</v>
      </c>
    </row>
    <row r="21" spans="2:6" x14ac:dyDescent="0.2">
      <c r="B21" s="3">
        <v>14</v>
      </c>
      <c r="C21" s="53" t="s">
        <v>99</v>
      </c>
      <c r="D21" s="180">
        <v>3.7693587314769419E-2</v>
      </c>
      <c r="E21" s="180">
        <v>4.491936998576012E-2</v>
      </c>
      <c r="F21" s="180">
        <v>4.7614532184905731E-2</v>
      </c>
    </row>
    <row r="22" spans="2:6" x14ac:dyDescent="0.2">
      <c r="B22" s="3">
        <v>15</v>
      </c>
      <c r="C22" s="53" t="s">
        <v>100</v>
      </c>
      <c r="D22" s="180">
        <v>0</v>
      </c>
      <c r="E22" s="180">
        <v>0</v>
      </c>
      <c r="F22" s="180">
        <v>0</v>
      </c>
    </row>
    <row r="23" spans="2:6" x14ac:dyDescent="0.2">
      <c r="B23" s="3">
        <v>16</v>
      </c>
      <c r="C23" s="52" t="s">
        <v>101</v>
      </c>
      <c r="D23" s="180">
        <v>0</v>
      </c>
      <c r="E23" s="180">
        <v>0</v>
      </c>
      <c r="F23" s="180">
        <v>0</v>
      </c>
    </row>
    <row r="24" spans="2:6" x14ac:dyDescent="0.2">
      <c r="B24" s="3">
        <v>17</v>
      </c>
      <c r="C24" s="52" t="s">
        <v>102</v>
      </c>
      <c r="D24" s="180">
        <v>0</v>
      </c>
      <c r="E24" s="180">
        <v>0</v>
      </c>
      <c r="F24" s="180">
        <v>0</v>
      </c>
    </row>
    <row r="25" spans="2:6" x14ac:dyDescent="0.2">
      <c r="B25" s="3">
        <v>18</v>
      </c>
      <c r="C25" s="53" t="s">
        <v>103</v>
      </c>
      <c r="D25" s="180">
        <v>2.7345956304663247E-2</v>
      </c>
      <c r="E25" s="180">
        <v>3.0887726401234633E-2</v>
      </c>
      <c r="F25" s="180">
        <v>3.2740989985308715E-2</v>
      </c>
    </row>
    <row r="26" spans="2:6" x14ac:dyDescent="0.2">
      <c r="B26" s="3">
        <v>19</v>
      </c>
      <c r="C26" s="53" t="s">
        <v>104</v>
      </c>
      <c r="D26" s="180">
        <v>0.50675223950256987</v>
      </c>
      <c r="E26" s="180">
        <v>0.55772953669146086</v>
      </c>
      <c r="F26" s="180">
        <v>0.59119330889294852</v>
      </c>
    </row>
    <row r="27" spans="2:6" x14ac:dyDescent="0.2">
      <c r="B27" s="3">
        <v>20</v>
      </c>
      <c r="C27" s="53" t="s">
        <v>105</v>
      </c>
      <c r="D27" s="180">
        <v>0</v>
      </c>
      <c r="E27" s="180">
        <v>0</v>
      </c>
      <c r="F27" s="180">
        <v>0</v>
      </c>
    </row>
    <row r="28" spans="2:6" x14ac:dyDescent="0.2">
      <c r="B28" s="3">
        <v>21</v>
      </c>
      <c r="C28" s="53" t="s">
        <v>106</v>
      </c>
      <c r="D28" s="180">
        <v>0</v>
      </c>
      <c r="E28" s="180">
        <v>0</v>
      </c>
      <c r="F28" s="180">
        <v>0</v>
      </c>
    </row>
    <row r="29" spans="2:6" x14ac:dyDescent="0.2">
      <c r="B29" s="3">
        <v>22</v>
      </c>
      <c r="C29" s="53" t="s">
        <v>107</v>
      </c>
      <c r="D29" s="180">
        <v>1.7665746397897589E-6</v>
      </c>
      <c r="E29" s="180">
        <v>1.9872198740774011E-6</v>
      </c>
      <c r="F29" s="180">
        <v>2.1064530665220453E-6</v>
      </c>
    </row>
    <row r="30" spans="2:6" x14ac:dyDescent="0.2">
      <c r="B30" s="3">
        <v>23</v>
      </c>
      <c r="C30" s="53" t="s">
        <v>108</v>
      </c>
      <c r="D30" s="180">
        <v>0</v>
      </c>
      <c r="E30" s="180">
        <v>0</v>
      </c>
      <c r="F30" s="180">
        <v>0</v>
      </c>
    </row>
    <row r="31" spans="2:6" x14ac:dyDescent="0.2">
      <c r="B31" s="3">
        <v>24</v>
      </c>
      <c r="C31" s="53" t="s">
        <v>109</v>
      </c>
      <c r="D31" s="180">
        <v>1.7631626848768362E-2</v>
      </c>
      <c r="E31" s="180">
        <v>1.9836305388986446E-2</v>
      </c>
      <c r="F31" s="180">
        <v>2.1026483712325635E-2</v>
      </c>
    </row>
    <row r="32" spans="2:6" x14ac:dyDescent="0.2">
      <c r="B32" s="3">
        <v>25</v>
      </c>
      <c r="C32" s="53" t="s">
        <v>110</v>
      </c>
      <c r="D32" s="180">
        <v>0</v>
      </c>
      <c r="E32" s="180">
        <v>0</v>
      </c>
      <c r="F32" s="180">
        <v>0</v>
      </c>
    </row>
    <row r="33" spans="2:6" x14ac:dyDescent="0.2">
      <c r="B33" s="3">
        <v>26</v>
      </c>
      <c r="C33" s="53" t="s">
        <v>111</v>
      </c>
      <c r="D33" s="180">
        <v>0</v>
      </c>
      <c r="E33" s="180">
        <v>0</v>
      </c>
      <c r="F33" s="180">
        <v>0</v>
      </c>
    </row>
    <row r="34" spans="2:6" x14ac:dyDescent="0.2">
      <c r="B34" s="3">
        <v>27</v>
      </c>
      <c r="C34" s="53" t="s">
        <v>112</v>
      </c>
      <c r="D34" s="180">
        <v>4.9271095260798366E-3</v>
      </c>
      <c r="E34" s="180">
        <v>5.4153023587501983E-3</v>
      </c>
      <c r="F34" s="180">
        <v>5.74022050027521E-3</v>
      </c>
    </row>
    <row r="35" spans="2:6" x14ac:dyDescent="0.2">
      <c r="B35" s="3">
        <v>28</v>
      </c>
      <c r="C35" s="53" t="s">
        <v>83</v>
      </c>
      <c r="D35" s="180">
        <v>8.6207154945764281E-2</v>
      </c>
      <c r="E35" s="180">
        <v>0.11600000000000001</v>
      </c>
      <c r="F35" s="180">
        <v>0.125</v>
      </c>
    </row>
    <row r="36" spans="2:6" ht="15" x14ac:dyDescent="0.25">
      <c r="B36" s="3">
        <v>29</v>
      </c>
      <c r="C36" s="54" t="s">
        <v>113</v>
      </c>
      <c r="D36" s="98">
        <f>SUM(D8:D35)</f>
        <v>1.9733846006934999</v>
      </c>
      <c r="E36" s="98">
        <f>SUM(E8:E35)</f>
        <v>2.1469432943333482</v>
      </c>
      <c r="F36" s="98">
        <f>SUM(F8:F35)</f>
        <v>2.2777998919933493</v>
      </c>
    </row>
    <row r="37" spans="2:6" ht="15" x14ac:dyDescent="0.25">
      <c r="B37" s="3">
        <v>30</v>
      </c>
      <c r="C37" s="42" t="s">
        <v>17</v>
      </c>
      <c r="D37" s="175"/>
      <c r="E37" s="177"/>
      <c r="F37" s="177"/>
    </row>
    <row r="38" spans="2:6" ht="15" x14ac:dyDescent="0.2">
      <c r="B38" s="3">
        <v>31</v>
      </c>
      <c r="C38" s="19" t="s">
        <v>114</v>
      </c>
      <c r="D38" s="98">
        <f>ROUND(D36-D37,2)</f>
        <v>1.97</v>
      </c>
      <c r="E38" s="98">
        <f t="shared" ref="E38:F38" si="0">ROUND(E36-E37,2)</f>
        <v>2.15</v>
      </c>
      <c r="F38" s="98">
        <f t="shared" si="0"/>
        <v>2.2799999999999998</v>
      </c>
    </row>
  </sheetData>
  <mergeCells count="5">
    <mergeCell ref="B5:B7"/>
    <mergeCell ref="C5:C7"/>
    <mergeCell ref="B3:F3"/>
    <mergeCell ref="B1:F1"/>
    <mergeCell ref="B2:F2"/>
  </mergeCells>
  <pageMargins left="0.75" right="0.25" top="0.25" bottom="0.25" header="0.5" footer="0.5"/>
  <pageSetup paperSize="9" fitToWidth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21"/>
  <sheetViews>
    <sheetView showGridLines="0" view="pageBreakPreview" topLeftCell="B1" zoomScale="90" zoomScaleNormal="98" zoomScaleSheetLayoutView="90" workbookViewId="0">
      <selection activeCell="D18" sqref="D18"/>
    </sheetView>
  </sheetViews>
  <sheetFormatPr defaultColWidth="9.28515625" defaultRowHeight="14.25" x14ac:dyDescent="0.2"/>
  <cols>
    <col min="1" max="1" width="4.5703125" style="13" customWidth="1"/>
    <col min="2" max="2" width="8.7109375" style="55" customWidth="1"/>
    <col min="3" max="3" width="45.7109375" style="13" customWidth="1"/>
    <col min="4" max="5" width="15.7109375" style="13" customWidth="1"/>
    <col min="6" max="6" width="12.28515625" style="13" customWidth="1"/>
    <col min="7" max="16384" width="9.28515625" style="13"/>
  </cols>
  <sheetData>
    <row r="2" spans="2:6" ht="14.25" customHeight="1" x14ac:dyDescent="0.2">
      <c r="B2" s="217" t="s">
        <v>305</v>
      </c>
      <c r="C2" s="217"/>
      <c r="D2" s="217"/>
      <c r="E2" s="217"/>
      <c r="F2" s="217"/>
    </row>
    <row r="3" spans="2:6" ht="14.25" customHeight="1" x14ac:dyDescent="0.2">
      <c r="B3" s="217" t="str">
        <f>'F1'!$B$3</f>
        <v>Priyadarshini Jurala HES</v>
      </c>
      <c r="C3" s="217"/>
      <c r="D3" s="217"/>
      <c r="E3" s="217"/>
      <c r="F3" s="217"/>
    </row>
    <row r="4" spans="2:6" s="4" customFormat="1" ht="14.25" customHeight="1" x14ac:dyDescent="0.2">
      <c r="B4" s="217" t="s">
        <v>241</v>
      </c>
      <c r="C4" s="217"/>
      <c r="D4" s="217"/>
      <c r="E4" s="217"/>
      <c r="F4" s="217"/>
    </row>
    <row r="6" spans="2:6" ht="15" x14ac:dyDescent="0.2">
      <c r="F6" s="26" t="s">
        <v>4</v>
      </c>
    </row>
    <row r="7" spans="2:6" ht="12.75" customHeight="1" x14ac:dyDescent="0.2">
      <c r="B7" s="226" t="s">
        <v>169</v>
      </c>
      <c r="C7" s="224" t="s">
        <v>18</v>
      </c>
      <c r="D7" s="15" t="s">
        <v>306</v>
      </c>
      <c r="E7" s="15" t="s">
        <v>307</v>
      </c>
      <c r="F7" s="23" t="s">
        <v>332</v>
      </c>
    </row>
    <row r="8" spans="2:6" ht="15" x14ac:dyDescent="0.2">
      <c r="B8" s="226"/>
      <c r="C8" s="224"/>
      <c r="D8" s="15" t="s">
        <v>212</v>
      </c>
      <c r="E8" s="15" t="s">
        <v>211</v>
      </c>
      <c r="F8" s="15" t="s">
        <v>211</v>
      </c>
    </row>
    <row r="9" spans="2:6" ht="15" x14ac:dyDescent="0.2">
      <c r="B9" s="226"/>
      <c r="C9" s="224"/>
      <c r="D9" s="15" t="s">
        <v>12</v>
      </c>
      <c r="E9" s="15" t="s">
        <v>5</v>
      </c>
      <c r="F9" s="15" t="s">
        <v>8</v>
      </c>
    </row>
    <row r="10" spans="2:6" x14ac:dyDescent="0.2">
      <c r="B10" s="2">
        <v>1</v>
      </c>
      <c r="C10" s="53" t="s">
        <v>115</v>
      </c>
      <c r="D10" s="180">
        <v>3.5342433299147218</v>
      </c>
      <c r="E10" s="180">
        <v>9.8151654904715535</v>
      </c>
      <c r="F10" s="180">
        <v>10.404075419899847</v>
      </c>
    </row>
    <row r="11" spans="2:6" x14ac:dyDescent="0.2">
      <c r="B11" s="2">
        <v>2</v>
      </c>
      <c r="C11" s="53" t="s">
        <v>116</v>
      </c>
      <c r="D11" s="180">
        <v>0.47115008019868371</v>
      </c>
      <c r="E11" s="180">
        <v>0.4932624360508488</v>
      </c>
      <c r="F11" s="180">
        <v>0.52285818221389979</v>
      </c>
    </row>
    <row r="12" spans="2:6" x14ac:dyDescent="0.2">
      <c r="B12" s="2">
        <v>3</v>
      </c>
      <c r="C12" s="53" t="s">
        <v>117</v>
      </c>
      <c r="D12" s="180">
        <v>0</v>
      </c>
      <c r="E12" s="180">
        <v>0</v>
      </c>
      <c r="F12" s="180">
        <v>0</v>
      </c>
    </row>
    <row r="13" spans="2:6" x14ac:dyDescent="0.2">
      <c r="B13" s="2">
        <v>4</v>
      </c>
      <c r="C13" s="53" t="s">
        <v>118</v>
      </c>
      <c r="D13" s="180">
        <v>1.13324025E-2</v>
      </c>
      <c r="E13" s="180">
        <v>1.2085909647062819E-2</v>
      </c>
      <c r="F13" s="180">
        <v>1.2811064225886589E-2</v>
      </c>
    </row>
    <row r="14" spans="2:6" x14ac:dyDescent="0.2">
      <c r="B14" s="2">
        <v>5</v>
      </c>
      <c r="C14" s="53" t="s">
        <v>119</v>
      </c>
      <c r="D14" s="180">
        <v>0.11010736138356567</v>
      </c>
      <c r="E14" s="180">
        <v>0.11391314183290827</v>
      </c>
      <c r="F14" s="180">
        <v>0.12074793034288277</v>
      </c>
    </row>
    <row r="15" spans="2:6" x14ac:dyDescent="0.2">
      <c r="B15" s="2">
        <v>6</v>
      </c>
      <c r="C15" s="53" t="s">
        <v>120</v>
      </c>
      <c r="D15" s="180">
        <v>6.7078580121350088E-3</v>
      </c>
      <c r="E15" s="180">
        <v>7.1364984792729588E-3</v>
      </c>
      <c r="F15" s="180">
        <v>7.5646883880293369E-3</v>
      </c>
    </row>
    <row r="16" spans="2:6" x14ac:dyDescent="0.2">
      <c r="B16" s="2">
        <v>7</v>
      </c>
      <c r="C16" s="53" t="s">
        <v>121</v>
      </c>
      <c r="D16" s="180">
        <v>1.4515000000000001E-3</v>
      </c>
      <c r="E16" s="180">
        <v>1.548012246539221E-3</v>
      </c>
      <c r="F16" s="180">
        <v>1.6408929813315743E-3</v>
      </c>
    </row>
    <row r="17" spans="2:6" x14ac:dyDescent="0.2">
      <c r="B17" s="2">
        <v>8</v>
      </c>
      <c r="C17" s="53" t="s">
        <v>122</v>
      </c>
      <c r="D17" s="180">
        <v>0.14500604264971656</v>
      </c>
      <c r="E17" s="180">
        <v>0.15</v>
      </c>
      <c r="F17" s="180">
        <v>0.16232889798784958</v>
      </c>
    </row>
    <row r="18" spans="2:6" ht="15" x14ac:dyDescent="0.25">
      <c r="B18" s="2">
        <v>9</v>
      </c>
      <c r="C18" s="54" t="s">
        <v>123</v>
      </c>
      <c r="D18" s="98">
        <f>ROUND(SUM(D10:D17),2)</f>
        <v>4.28</v>
      </c>
      <c r="E18" s="98">
        <f t="shared" ref="E18:F18" si="0">ROUND(SUM(E10:E17),2)</f>
        <v>10.59</v>
      </c>
      <c r="F18" s="98">
        <f t="shared" si="0"/>
        <v>11.23</v>
      </c>
    </row>
    <row r="19" spans="2:6" ht="15" x14ac:dyDescent="0.25">
      <c r="B19" s="2"/>
      <c r="C19" s="52"/>
      <c r="D19" s="175"/>
      <c r="E19" s="178"/>
      <c r="F19" s="179"/>
    </row>
    <row r="20" spans="2:6" ht="15" x14ac:dyDescent="0.2">
      <c r="B20" s="2">
        <v>10</v>
      </c>
      <c r="C20" s="56" t="s">
        <v>124</v>
      </c>
      <c r="D20" s="98">
        <f>'F4'!F21</f>
        <v>692.5</v>
      </c>
      <c r="E20" s="98">
        <f>'F4'!F37</f>
        <v>692.53</v>
      </c>
      <c r="F20" s="98">
        <f>'F4'!F53</f>
        <v>692.53</v>
      </c>
    </row>
    <row r="21" spans="2:6" ht="28.5" x14ac:dyDescent="0.2">
      <c r="B21" s="2">
        <v>11</v>
      </c>
      <c r="C21" s="56" t="s">
        <v>125</v>
      </c>
      <c r="D21" s="109">
        <f>IFERROR(D18/D20,0)</f>
        <v>6.180505415162455E-3</v>
      </c>
      <c r="E21" s="109">
        <f>IFERROR(E18/E20,0)</f>
        <v>1.52917563138059E-2</v>
      </c>
      <c r="F21" s="109">
        <f>IFERROR(F18/F20,0)</f>
        <v>1.6215904004158666E-2</v>
      </c>
    </row>
  </sheetData>
  <mergeCells count="5">
    <mergeCell ref="B7:B9"/>
    <mergeCell ref="C7:C9"/>
    <mergeCell ref="B4:F4"/>
    <mergeCell ref="B2:F2"/>
    <mergeCell ref="B3:F3"/>
  </mergeCells>
  <pageMargins left="1.25" right="0.75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6"/>
  <sheetViews>
    <sheetView tabSelected="1" view="pageBreakPreview" topLeftCell="C1" zoomScale="90" zoomScaleNormal="118" zoomScaleSheetLayoutView="90" workbookViewId="0">
      <selection activeCell="F12" sqref="F12"/>
    </sheetView>
  </sheetViews>
  <sheetFormatPr defaultColWidth="9.28515625" defaultRowHeight="14.25" x14ac:dyDescent="0.2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3.7109375" style="4" bestFit="1" customWidth="1"/>
    <col min="8" max="8" width="15.140625" style="4" customWidth="1"/>
    <col min="9" max="9" width="11.7109375" style="4" bestFit="1" customWidth="1"/>
    <col min="10" max="10" width="13.140625" style="4" customWidth="1"/>
    <col min="11" max="16384" width="9.28515625" style="4"/>
  </cols>
  <sheetData>
    <row r="1" spans="2:10" ht="15" x14ac:dyDescent="0.25">
      <c r="B1" s="57"/>
    </row>
    <row r="2" spans="2:10" ht="14.25" customHeight="1" x14ac:dyDescent="0.2">
      <c r="B2" s="217" t="s">
        <v>305</v>
      </c>
      <c r="C2" s="217"/>
      <c r="D2" s="217"/>
      <c r="E2" s="217"/>
      <c r="F2" s="217"/>
      <c r="G2" s="217"/>
      <c r="H2" s="217"/>
    </row>
    <row r="3" spans="2:10" ht="14.25" customHeight="1" x14ac:dyDescent="0.2">
      <c r="B3" s="35"/>
      <c r="C3" s="35"/>
      <c r="D3" s="35"/>
      <c r="E3" s="35" t="str">
        <f>'F1'!$B$3</f>
        <v>Priyadarshini Jurala HES</v>
      </c>
      <c r="F3" s="35"/>
      <c r="G3" s="35"/>
      <c r="H3" s="35"/>
    </row>
    <row r="4" spans="2:10" ht="14.25" customHeight="1" x14ac:dyDescent="0.2">
      <c r="B4" s="217" t="s">
        <v>242</v>
      </c>
      <c r="C4" s="217"/>
      <c r="D4" s="217"/>
      <c r="E4" s="217"/>
      <c r="F4" s="217"/>
      <c r="G4" s="217"/>
      <c r="H4" s="217"/>
    </row>
    <row r="5" spans="2:10" ht="15" x14ac:dyDescent="0.25">
      <c r="B5" s="36"/>
      <c r="C5" s="58"/>
      <c r="D5" s="58"/>
      <c r="E5" s="58"/>
      <c r="F5" s="58"/>
      <c r="G5" s="58"/>
      <c r="H5" s="58"/>
    </row>
    <row r="6" spans="2:10" ht="15" x14ac:dyDescent="0.2">
      <c r="H6" s="26" t="s">
        <v>4</v>
      </c>
    </row>
    <row r="7" spans="2:10" s="13" customFormat="1" ht="15" customHeight="1" x14ac:dyDescent="0.2">
      <c r="B7" s="221" t="s">
        <v>169</v>
      </c>
      <c r="C7" s="224" t="s">
        <v>18</v>
      </c>
      <c r="D7" s="228" t="s">
        <v>306</v>
      </c>
      <c r="E7" s="229"/>
      <c r="F7" s="230"/>
      <c r="G7" s="228" t="s">
        <v>307</v>
      </c>
      <c r="H7" s="230"/>
      <c r="I7" s="228" t="s">
        <v>332</v>
      </c>
      <c r="J7" s="230"/>
    </row>
    <row r="8" spans="2:10" s="13" customFormat="1" ht="45" x14ac:dyDescent="0.2">
      <c r="B8" s="222"/>
      <c r="C8" s="224"/>
      <c r="D8" s="15" t="s">
        <v>278</v>
      </c>
      <c r="E8" s="15" t="s">
        <v>212</v>
      </c>
      <c r="F8" s="15" t="s">
        <v>183</v>
      </c>
      <c r="G8" s="15" t="s">
        <v>278</v>
      </c>
      <c r="H8" s="15" t="s">
        <v>211</v>
      </c>
      <c r="I8" s="15" t="s">
        <v>278</v>
      </c>
      <c r="J8" s="15" t="s">
        <v>211</v>
      </c>
    </row>
    <row r="9" spans="2:10" s="13" customFormat="1" ht="15" x14ac:dyDescent="0.2">
      <c r="B9" s="223"/>
      <c r="C9" s="225"/>
      <c r="D9" s="15" t="s">
        <v>10</v>
      </c>
      <c r="E9" s="15" t="s">
        <v>12</v>
      </c>
      <c r="F9" s="15" t="s">
        <v>203</v>
      </c>
      <c r="G9" s="15" t="s">
        <v>10</v>
      </c>
      <c r="H9" s="15" t="s">
        <v>5</v>
      </c>
      <c r="I9" s="15" t="s">
        <v>10</v>
      </c>
      <c r="J9" s="15" t="s">
        <v>8</v>
      </c>
    </row>
    <row r="10" spans="2:10" s="5" customFormat="1" x14ac:dyDescent="0.2">
      <c r="B10" s="61">
        <v>1</v>
      </c>
      <c r="C10" s="27" t="s">
        <v>216</v>
      </c>
      <c r="D10" s="2"/>
      <c r="E10" s="27"/>
      <c r="F10" s="27"/>
      <c r="G10" s="97"/>
      <c r="H10" s="97">
        <f>E13</f>
        <v>0</v>
      </c>
      <c r="I10" s="97"/>
      <c r="J10" s="97">
        <f>H13</f>
        <v>0</v>
      </c>
    </row>
    <row r="11" spans="2:10" s="5" customFormat="1" x14ac:dyDescent="0.2">
      <c r="B11" s="20">
        <v>2</v>
      </c>
      <c r="C11" s="27" t="s">
        <v>245</v>
      </c>
      <c r="D11" s="2"/>
      <c r="E11" s="94">
        <f>E12</f>
        <v>0.03</v>
      </c>
      <c r="F11" s="94">
        <f>E11</f>
        <v>0.03</v>
      </c>
      <c r="G11" s="21"/>
      <c r="H11" s="97"/>
      <c r="I11" s="97"/>
      <c r="J11" s="97"/>
    </row>
    <row r="12" spans="2:10" s="5" customFormat="1" ht="15" x14ac:dyDescent="0.2">
      <c r="B12" s="20">
        <v>3</v>
      </c>
      <c r="C12" s="29" t="s">
        <v>197</v>
      </c>
      <c r="D12" s="107"/>
      <c r="E12" s="112">
        <v>0.03</v>
      </c>
      <c r="F12" s="112">
        <f>E12</f>
        <v>0.03</v>
      </c>
      <c r="G12" s="107"/>
      <c r="H12" s="96"/>
      <c r="I12" s="96"/>
      <c r="J12" s="96"/>
    </row>
    <row r="13" spans="2:10" s="5" customFormat="1" ht="15" x14ac:dyDescent="0.2">
      <c r="B13" s="20">
        <v>4</v>
      </c>
      <c r="C13" s="27" t="s">
        <v>217</v>
      </c>
      <c r="D13" s="108">
        <f>D10+D11-D12</f>
        <v>0</v>
      </c>
      <c r="E13" s="108"/>
      <c r="F13" s="108">
        <f t="shared" ref="F13:J13" si="0">F10+F11-F12</f>
        <v>0</v>
      </c>
      <c r="G13" s="108">
        <f t="shared" si="0"/>
        <v>0</v>
      </c>
      <c r="H13" s="108">
        <f>H10+H11-H12</f>
        <v>0</v>
      </c>
      <c r="I13" s="108">
        <f>I10+I11-I12</f>
        <v>0</v>
      </c>
      <c r="J13" s="108">
        <f t="shared" si="0"/>
        <v>0</v>
      </c>
    </row>
    <row r="14" spans="2:10" s="32" customFormat="1" ht="15" x14ac:dyDescent="0.2">
      <c r="B14" s="62"/>
      <c r="C14" s="49"/>
      <c r="D14" s="59"/>
      <c r="E14" s="59"/>
      <c r="F14" s="59"/>
      <c r="G14" s="60"/>
      <c r="H14" s="24"/>
    </row>
    <row r="16" spans="2:10" x14ac:dyDescent="0.2">
      <c r="B16" s="63"/>
    </row>
  </sheetData>
  <mergeCells count="7">
    <mergeCell ref="I7:J7"/>
    <mergeCell ref="B4:H4"/>
    <mergeCell ref="B2:H2"/>
    <mergeCell ref="B7:B9"/>
    <mergeCell ref="C7:C9"/>
    <mergeCell ref="D7:F7"/>
    <mergeCell ref="G7:H7"/>
  </mergeCells>
  <pageMargins left="0.27" right="0.25" top="1" bottom="1" header="0.25" footer="0.2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1"/>
  <sheetViews>
    <sheetView showGridLines="0" view="pageBreakPreview" zoomScale="90" zoomScaleNormal="106" zoomScaleSheetLayoutView="90" workbookViewId="0">
      <selection sqref="A1:XFD1048576"/>
    </sheetView>
  </sheetViews>
  <sheetFormatPr defaultRowHeight="14.25" x14ac:dyDescent="0.2"/>
  <cols>
    <col min="1" max="1" width="4.140625" style="5" customWidth="1"/>
    <col min="2" max="2" width="6.28515625" style="5" customWidth="1"/>
    <col min="3" max="3" width="16.5703125" style="5" customWidth="1"/>
    <col min="4" max="4" width="25" style="5" customWidth="1"/>
    <col min="5" max="5" width="30.85546875" style="5" customWidth="1"/>
    <col min="6" max="6" width="22" style="5" customWidth="1"/>
    <col min="7" max="7" width="20.85546875" style="5" customWidth="1"/>
    <col min="8" max="8" width="21.7109375" style="5" customWidth="1"/>
    <col min="9" max="9" width="29.7109375" style="5" customWidth="1"/>
    <col min="10" max="10" width="15.5703125" style="5" customWidth="1"/>
    <col min="11" max="11" width="31" style="5" customWidth="1"/>
    <col min="12" max="12" width="15.85546875" style="5" customWidth="1"/>
    <col min="13" max="13" width="13.140625" style="5" bestFit="1" customWidth="1"/>
    <col min="14" max="14" width="12.5703125" style="5" customWidth="1"/>
    <col min="15" max="15" width="11.85546875" style="5" bestFit="1" customWidth="1"/>
    <col min="16" max="16" width="13.85546875" style="5" bestFit="1" customWidth="1"/>
    <col min="17" max="21" width="11.85546875" style="5" bestFit="1" customWidth="1"/>
    <col min="22" max="22" width="11.7109375" style="5" bestFit="1" customWidth="1"/>
    <col min="23" max="16384" width="9.140625" style="5"/>
  </cols>
  <sheetData>
    <row r="1" spans="2:16" ht="15" x14ac:dyDescent="0.2">
      <c r="B1" s="211"/>
    </row>
    <row r="2" spans="2:16" ht="15" x14ac:dyDescent="0.2">
      <c r="B2" s="254" t="s">
        <v>305</v>
      </c>
      <c r="C2" s="254"/>
      <c r="D2" s="254"/>
      <c r="E2" s="254"/>
      <c r="F2" s="254"/>
      <c r="G2" s="254"/>
      <c r="H2" s="254"/>
      <c r="I2" s="254"/>
      <c r="J2" s="254"/>
      <c r="K2" s="254"/>
      <c r="L2" s="254"/>
    </row>
    <row r="3" spans="2:16" ht="15" x14ac:dyDescent="0.2">
      <c r="B3" s="254" t="s">
        <v>346</v>
      </c>
      <c r="C3" s="254"/>
      <c r="D3" s="254"/>
      <c r="E3" s="254"/>
      <c r="F3" s="254"/>
      <c r="G3" s="254"/>
      <c r="H3" s="254"/>
      <c r="I3" s="254"/>
      <c r="J3" s="254"/>
      <c r="K3" s="254"/>
      <c r="L3" s="254"/>
    </row>
    <row r="4" spans="2:16" ht="15" x14ac:dyDescent="0.2">
      <c r="B4" s="217" t="s">
        <v>243</v>
      </c>
      <c r="C4" s="217"/>
      <c r="D4" s="217"/>
      <c r="E4" s="217"/>
      <c r="F4" s="217"/>
      <c r="G4" s="217"/>
      <c r="H4" s="217"/>
      <c r="I4" s="217"/>
      <c r="J4" s="217"/>
      <c r="K4" s="217"/>
      <c r="L4" s="217"/>
    </row>
    <row r="5" spans="2:16" ht="15" x14ac:dyDescent="0.2">
      <c r="K5" s="210"/>
    </row>
    <row r="6" spans="2:16" ht="75" x14ac:dyDescent="0.2">
      <c r="B6" s="255" t="s">
        <v>169</v>
      </c>
      <c r="C6" s="256" t="s">
        <v>218</v>
      </c>
      <c r="D6" s="166" t="s">
        <v>359</v>
      </c>
      <c r="E6" s="256" t="s">
        <v>219</v>
      </c>
      <c r="F6" s="166" t="s">
        <v>221</v>
      </c>
      <c r="G6" s="166" t="s">
        <v>360</v>
      </c>
      <c r="H6" s="166" t="s">
        <v>224</v>
      </c>
      <c r="I6" s="166" t="s">
        <v>361</v>
      </c>
      <c r="J6" s="256" t="s">
        <v>220</v>
      </c>
      <c r="K6" s="166" t="s">
        <v>225</v>
      </c>
      <c r="L6" s="166" t="s">
        <v>163</v>
      </c>
      <c r="M6" s="25"/>
      <c r="N6" s="25"/>
      <c r="O6" s="25"/>
      <c r="P6" s="25"/>
    </row>
    <row r="7" spans="2:16" ht="15" x14ac:dyDescent="0.2">
      <c r="B7" s="164"/>
      <c r="C7" s="257" t="s">
        <v>362</v>
      </c>
      <c r="D7" s="258"/>
      <c r="E7" s="258"/>
      <c r="F7" s="258"/>
      <c r="G7" s="258"/>
      <c r="H7" s="258"/>
      <c r="I7" s="258"/>
      <c r="J7" s="258"/>
      <c r="K7" s="258"/>
      <c r="L7" s="258"/>
    </row>
    <row r="8" spans="2:16" ht="60" x14ac:dyDescent="0.2">
      <c r="B8" s="256">
        <v>1</v>
      </c>
      <c r="C8" s="166" t="s">
        <v>362</v>
      </c>
      <c r="D8" s="212" t="s">
        <v>363</v>
      </c>
      <c r="E8" s="259" t="s">
        <v>364</v>
      </c>
      <c r="F8" s="260">
        <v>0.03</v>
      </c>
      <c r="G8" s="164"/>
      <c r="H8" s="261">
        <f>F8</f>
        <v>0.03</v>
      </c>
      <c r="I8" s="171"/>
      <c r="J8" s="258"/>
      <c r="K8" s="212" t="s">
        <v>365</v>
      </c>
      <c r="L8" s="169"/>
    </row>
    <row r="9" spans="2:16" ht="15" x14ac:dyDescent="0.2">
      <c r="B9" s="256">
        <v>2</v>
      </c>
      <c r="C9" s="166" t="s">
        <v>362</v>
      </c>
      <c r="D9" s="256"/>
      <c r="E9" s="259"/>
      <c r="F9" s="260"/>
      <c r="G9" s="164"/>
      <c r="H9" s="261"/>
      <c r="I9" s="164"/>
      <c r="J9" s="258"/>
      <c r="K9" s="212" t="s">
        <v>365</v>
      </c>
      <c r="L9" s="169"/>
    </row>
    <row r="10" spans="2:16" ht="15" x14ac:dyDescent="0.2">
      <c r="B10" s="164"/>
      <c r="C10" s="262" t="s">
        <v>127</v>
      </c>
      <c r="D10" s="258"/>
      <c r="E10" s="263"/>
      <c r="F10" s="261">
        <f>SUM(F8:F9)</f>
        <v>0.03</v>
      </c>
      <c r="G10" s="164"/>
      <c r="H10" s="261">
        <f>SUM(H8:H9)</f>
        <v>0.03</v>
      </c>
      <c r="I10" s="164"/>
      <c r="J10" s="258"/>
      <c r="K10" s="258"/>
      <c r="L10" s="258"/>
    </row>
    <row r="11" spans="2:16" ht="15" x14ac:dyDescent="0.2">
      <c r="B11" s="164"/>
      <c r="C11" s="257" t="s">
        <v>366</v>
      </c>
      <c r="D11" s="258"/>
      <c r="E11" s="263"/>
      <c r="F11" s="258"/>
      <c r="G11" s="258"/>
      <c r="H11" s="258"/>
      <c r="I11" s="258"/>
      <c r="J11" s="258"/>
      <c r="K11" s="258"/>
      <c r="L11" s="258"/>
    </row>
    <row r="12" spans="2:16" ht="15" x14ac:dyDescent="0.2">
      <c r="B12" s="256">
        <v>1</v>
      </c>
      <c r="C12" s="166" t="s">
        <v>366</v>
      </c>
      <c r="D12" s="264"/>
      <c r="E12" s="265"/>
      <c r="F12" s="265"/>
      <c r="G12" s="265"/>
      <c r="H12" s="265"/>
      <c r="I12" s="265"/>
      <c r="J12" s="265"/>
      <c r="K12" s="265"/>
      <c r="L12" s="265"/>
    </row>
    <row r="13" spans="2:16" ht="15" x14ac:dyDescent="0.2">
      <c r="B13" s="256">
        <v>2</v>
      </c>
      <c r="C13" s="262"/>
      <c r="E13" s="264"/>
      <c r="F13" s="262"/>
      <c r="G13" s="262"/>
      <c r="H13" s="262"/>
      <c r="I13" s="264"/>
      <c r="J13" s="266"/>
      <c r="K13" s="264"/>
      <c r="L13" s="267"/>
    </row>
    <row r="14" spans="2:16" ht="15" customHeight="1" x14ac:dyDescent="0.2">
      <c r="B14" s="256"/>
      <c r="C14" s="262" t="s">
        <v>127</v>
      </c>
      <c r="D14" s="258"/>
      <c r="E14" s="268"/>
      <c r="F14" s="262"/>
      <c r="G14" s="265"/>
      <c r="H14" s="265"/>
      <c r="I14" s="264"/>
      <c r="J14" s="266"/>
      <c r="K14" s="264"/>
      <c r="L14" s="267"/>
    </row>
    <row r="15" spans="2:16" ht="15" x14ac:dyDescent="0.2">
      <c r="B15" s="164"/>
      <c r="C15" s="257" t="s">
        <v>367</v>
      </c>
      <c r="D15" s="258"/>
      <c r="E15" s="258"/>
      <c r="F15" s="258"/>
      <c r="G15" s="258"/>
      <c r="H15" s="258"/>
      <c r="I15" s="258"/>
      <c r="J15" s="258"/>
      <c r="K15" s="258"/>
      <c r="L15" s="258"/>
    </row>
    <row r="16" spans="2:16" ht="15" x14ac:dyDescent="0.2">
      <c r="B16" s="256">
        <v>1</v>
      </c>
      <c r="C16" s="262" t="s">
        <v>367</v>
      </c>
      <c r="D16" s="264"/>
      <c r="E16" s="265"/>
      <c r="F16" s="262"/>
      <c r="G16" s="262"/>
      <c r="H16" s="262"/>
      <c r="I16" s="264"/>
      <c r="J16" s="266"/>
      <c r="K16" s="264"/>
      <c r="L16" s="267"/>
    </row>
    <row r="17" spans="2:12" ht="15" x14ac:dyDescent="0.2">
      <c r="B17" s="256">
        <v>2</v>
      </c>
      <c r="C17" s="262" t="s">
        <v>367</v>
      </c>
      <c r="E17" s="264"/>
      <c r="F17" s="262"/>
      <c r="G17" s="262"/>
      <c r="H17" s="262"/>
      <c r="I17" s="264"/>
      <c r="J17" s="266"/>
      <c r="K17" s="264"/>
      <c r="L17" s="267"/>
    </row>
    <row r="18" spans="2:12" ht="15" x14ac:dyDescent="0.2">
      <c r="B18" s="164">
        <v>3</v>
      </c>
      <c r="C18" s="164"/>
      <c r="D18" s="258"/>
      <c r="E18" s="258"/>
      <c r="F18" s="258"/>
      <c r="G18" s="258"/>
      <c r="H18" s="256"/>
      <c r="I18" s="258"/>
      <c r="J18" s="258"/>
      <c r="K18" s="258"/>
      <c r="L18" s="258"/>
    </row>
    <row r="19" spans="2:12" ht="15" x14ac:dyDescent="0.2">
      <c r="B19" s="258"/>
      <c r="C19" s="258" t="s">
        <v>9</v>
      </c>
      <c r="D19" s="258"/>
      <c r="E19" s="258"/>
      <c r="F19" s="258"/>
      <c r="G19" s="258"/>
      <c r="H19" s="256"/>
      <c r="I19" s="258"/>
      <c r="J19" s="258"/>
      <c r="K19" s="258"/>
      <c r="L19" s="258"/>
    </row>
    <row r="20" spans="2:12" ht="15" x14ac:dyDescent="0.2">
      <c r="B20" s="258"/>
      <c r="C20" s="256" t="s">
        <v>127</v>
      </c>
      <c r="D20" s="258"/>
      <c r="E20" s="258"/>
      <c r="F20" s="258"/>
      <c r="G20" s="258"/>
      <c r="H20" s="256"/>
      <c r="I20" s="258"/>
      <c r="J20" s="258"/>
      <c r="K20" s="258"/>
      <c r="L20" s="258"/>
    </row>
    <row r="21" spans="2:12" x14ac:dyDescent="0.2">
      <c r="B21" s="62" t="s">
        <v>222</v>
      </c>
      <c r="C21" s="50" t="s">
        <v>223</v>
      </c>
    </row>
  </sheetData>
  <mergeCells count="3">
    <mergeCell ref="B2:L2"/>
    <mergeCell ref="B3:L3"/>
    <mergeCell ref="B4:L4"/>
  </mergeCells>
  <pageMargins left="0.27" right="0.25" top="1" bottom="1" header="0.25" footer="0.25"/>
  <pageSetup paperSize="9" scale="6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1"/>
  <sheetViews>
    <sheetView showGridLines="0" view="pageBreakPreview" zoomScaleSheetLayoutView="100" workbookViewId="0">
      <selection activeCell="D10" sqref="D10"/>
    </sheetView>
  </sheetViews>
  <sheetFormatPr defaultColWidth="9.28515625" defaultRowHeight="14.25" x14ac:dyDescent="0.2"/>
  <cols>
    <col min="1" max="2" width="9.28515625" style="87"/>
    <col min="3" max="3" width="42" style="87" customWidth="1"/>
    <col min="4" max="4" width="16.28515625" style="87" customWidth="1"/>
    <col min="5" max="5" width="12.5703125" style="87" customWidth="1"/>
    <col min="6" max="6" width="16.28515625" style="87" customWidth="1"/>
    <col min="7" max="16384" width="9.28515625" style="87"/>
  </cols>
  <sheetData>
    <row r="2" spans="2:6" ht="15" x14ac:dyDescent="0.2">
      <c r="D2" s="32" t="s">
        <v>305</v>
      </c>
    </row>
    <row r="3" spans="2:6" ht="15" x14ac:dyDescent="0.2">
      <c r="D3" s="32" t="str">
        <f>'F1'!$B$3</f>
        <v>Priyadarshini Jurala HES</v>
      </c>
    </row>
    <row r="4" spans="2:6" ht="15" x14ac:dyDescent="0.2">
      <c r="D4" s="35" t="s">
        <v>268</v>
      </c>
    </row>
    <row r="6" spans="2:6" ht="15" customHeight="1" x14ac:dyDescent="0.2">
      <c r="B6" s="226" t="s">
        <v>169</v>
      </c>
      <c r="C6" s="237" t="s">
        <v>18</v>
      </c>
      <c r="D6" s="226" t="s">
        <v>306</v>
      </c>
      <c r="E6" s="121" t="s">
        <v>333</v>
      </c>
      <c r="F6" s="15" t="s">
        <v>332</v>
      </c>
    </row>
    <row r="7" spans="2:6" ht="15" x14ac:dyDescent="0.2">
      <c r="B7" s="226"/>
      <c r="C7" s="237"/>
      <c r="D7" s="226"/>
      <c r="E7" s="15" t="s">
        <v>211</v>
      </c>
      <c r="F7" s="15" t="s">
        <v>201</v>
      </c>
    </row>
    <row r="8" spans="2:6" ht="15" x14ac:dyDescent="0.2">
      <c r="B8" s="226"/>
      <c r="C8" s="237"/>
      <c r="D8" s="88" t="s">
        <v>3</v>
      </c>
      <c r="E8" s="15" t="s">
        <v>5</v>
      </c>
      <c r="F8" s="15" t="s">
        <v>8</v>
      </c>
    </row>
    <row r="9" spans="2:6" ht="15" x14ac:dyDescent="0.2">
      <c r="B9" s="89">
        <v>1</v>
      </c>
      <c r="C9" s="28" t="s">
        <v>269</v>
      </c>
      <c r="D9" s="95">
        <f>'F3'!E12</f>
        <v>0.03</v>
      </c>
      <c r="E9" s="95">
        <f>'F3'!H12</f>
        <v>0</v>
      </c>
      <c r="F9" s="95">
        <f>F3.1!H24</f>
        <v>0</v>
      </c>
    </row>
    <row r="10" spans="2:6" x14ac:dyDescent="0.2">
      <c r="B10" s="28"/>
      <c r="C10" s="28"/>
      <c r="D10" s="92"/>
      <c r="E10" s="92"/>
      <c r="F10" s="92"/>
    </row>
    <row r="11" spans="2:6" ht="15" x14ac:dyDescent="0.2">
      <c r="B11" s="89">
        <v>2</v>
      </c>
      <c r="C11" s="90" t="s">
        <v>164</v>
      </c>
      <c r="D11" s="92"/>
      <c r="E11" s="92"/>
      <c r="F11" s="92"/>
    </row>
    <row r="12" spans="2:6" x14ac:dyDescent="0.2">
      <c r="B12" s="28"/>
      <c r="C12" s="28" t="s">
        <v>168</v>
      </c>
      <c r="D12" s="92"/>
      <c r="E12" s="92"/>
      <c r="F12" s="92"/>
    </row>
    <row r="13" spans="2:6" x14ac:dyDescent="0.2">
      <c r="B13" s="28"/>
      <c r="C13" s="28" t="s">
        <v>167</v>
      </c>
      <c r="D13" s="92"/>
      <c r="E13" s="92"/>
      <c r="F13" s="92"/>
    </row>
    <row r="14" spans="2:6" x14ac:dyDescent="0.2">
      <c r="B14" s="28"/>
      <c r="C14" s="28" t="s">
        <v>9</v>
      </c>
      <c r="D14" s="92"/>
      <c r="E14" s="92"/>
      <c r="F14" s="92"/>
    </row>
    <row r="15" spans="2:6" ht="15" x14ac:dyDescent="0.2">
      <c r="B15" s="28"/>
      <c r="C15" s="90" t="s">
        <v>162</v>
      </c>
      <c r="D15" s="95">
        <f>SUM(D12:D14)</f>
        <v>0</v>
      </c>
      <c r="E15" s="95">
        <f>SUM(E12:E14)</f>
        <v>0</v>
      </c>
      <c r="F15" s="95">
        <f>SUM(F12:F14)</f>
        <v>0</v>
      </c>
    </row>
    <row r="16" spans="2:6" x14ac:dyDescent="0.2">
      <c r="B16" s="28"/>
      <c r="C16" s="28"/>
      <c r="D16" s="92"/>
      <c r="E16" s="92"/>
      <c r="F16" s="92"/>
    </row>
    <row r="17" spans="2:6" x14ac:dyDescent="0.2">
      <c r="B17" s="89">
        <v>3</v>
      </c>
      <c r="C17" s="28" t="s">
        <v>0</v>
      </c>
      <c r="D17" s="92"/>
      <c r="E17" s="92"/>
      <c r="F17" s="92"/>
    </row>
    <row r="18" spans="2:6" x14ac:dyDescent="0.2">
      <c r="B18" s="89">
        <v>4</v>
      </c>
      <c r="C18" s="28" t="s">
        <v>165</v>
      </c>
      <c r="D18" s="92">
        <f>D9</f>
        <v>0.03</v>
      </c>
      <c r="E18" s="92">
        <f>E9</f>
        <v>0</v>
      </c>
      <c r="F18" s="92">
        <f>F9</f>
        <v>0</v>
      </c>
    </row>
    <row r="19" spans="2:6" x14ac:dyDescent="0.2">
      <c r="B19" s="89">
        <v>5</v>
      </c>
      <c r="C19" s="28" t="s">
        <v>270</v>
      </c>
      <c r="D19" s="92"/>
      <c r="E19" s="92"/>
      <c r="F19" s="92"/>
    </row>
    <row r="20" spans="2:6" ht="15" x14ac:dyDescent="0.2">
      <c r="B20" s="28"/>
      <c r="C20" s="28"/>
      <c r="D20" s="93"/>
      <c r="E20" s="93"/>
      <c r="F20" s="93"/>
    </row>
    <row r="21" spans="2:6" ht="15" x14ac:dyDescent="0.2">
      <c r="B21" s="89">
        <v>6</v>
      </c>
      <c r="C21" s="90" t="s">
        <v>271</v>
      </c>
      <c r="D21" s="95">
        <f>D15+D17+D18+D19</f>
        <v>0.03</v>
      </c>
      <c r="E21" s="95">
        <f>SUM(E18:E20)</f>
        <v>0</v>
      </c>
      <c r="F21" s="95">
        <f>F15+F17+F18+F19</f>
        <v>0</v>
      </c>
    </row>
  </sheetData>
  <mergeCells count="3">
    <mergeCell ref="D6:D7"/>
    <mergeCell ref="B6:B8"/>
    <mergeCell ref="C6:C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2</vt:i4>
      </vt:variant>
    </vt:vector>
  </HeadingPairs>
  <TitlesOfParts>
    <vt:vector size="19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F15</vt:lpstr>
      <vt:lpstr>Checklist!Print_Area</vt:lpstr>
      <vt:lpstr>'F7'!Print_Area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AE COMMERCIAL</cp:lastModifiedBy>
  <cp:lastPrinted>2025-11-28T11:07:33Z</cp:lastPrinted>
  <dcterms:created xsi:type="dcterms:W3CDTF">2004-07-28T05:30:50Z</dcterms:created>
  <dcterms:modified xsi:type="dcterms:W3CDTF">2025-12-16T11:19:40Z</dcterms:modified>
</cp:coreProperties>
</file>